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20" tabRatio="760" firstSheet="4" activeTab="6"/>
  </bookViews>
  <sheets>
    <sheet name=" на весь срок" sheetId="1" state="hidden" r:id="rId1"/>
    <sheet name="льготный период" sheetId="2" state="hidden" r:id="rId2"/>
    <sheet name="справочники" sheetId="3" state="hidden" r:id="rId3"/>
    <sheet name="Комбо-ипотека" sheetId="6" state="hidden" r:id="rId4"/>
    <sheet name="Ставка мечты" sheetId="4" r:id="rId5"/>
    <sheet name="Комбо (с субсидир от Застройщ)" sheetId="7" r:id="rId6"/>
    <sheet name="Комбо (со средневзв. ставкой)" sheetId="8" r:id="rId7"/>
    <sheet name="Комбо2" sheetId="9" state="hidden" r:id="rId8"/>
    <sheet name="график" sheetId="5" state="hidden" r:id="rId9"/>
  </sheets>
  <definedNames>
    <definedName name="_ftn1" localSheetId="2">справочники!$E$9</definedName>
    <definedName name="_ftnref1" localSheetId="2">справочники!$E$6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6" l="1"/>
  <c r="K37" i="6"/>
  <c r="K31" i="6"/>
  <c r="K32" i="6"/>
  <c r="K33" i="6"/>
  <c r="K34" i="6"/>
  <c r="K35" i="6"/>
  <c r="K38" i="6"/>
  <c r="K30" i="6"/>
  <c r="G15" i="6"/>
  <c r="J18" i="6" s="1"/>
  <c r="F15" i="6" s="1"/>
  <c r="J17" i="6" l="1"/>
  <c r="G30" i="6"/>
  <c r="L7" i="3" l="1"/>
  <c r="F16" i="4" s="1"/>
  <c r="I16" i="4" s="1"/>
  <c r="G16" i="4" s="1"/>
  <c r="J16" i="4" s="1"/>
  <c r="K16" i="4" s="1"/>
  <c r="M8" i="3"/>
  <c r="M7" i="3"/>
  <c r="J20" i="3" l="1"/>
  <c r="I8" i="1"/>
  <c r="I9" i="1"/>
  <c r="I10" i="1"/>
  <c r="I11" i="1"/>
  <c r="I12" i="1"/>
  <c r="I13" i="1"/>
  <c r="I14" i="1"/>
  <c r="I15" i="1"/>
  <c r="I16" i="1"/>
  <c r="I17" i="1"/>
  <c r="I7" i="1"/>
  <c r="C7" i="1"/>
  <c r="C8" i="1" l="1"/>
  <c r="C9" i="1"/>
  <c r="C10" i="1"/>
  <c r="C11" i="1"/>
  <c r="C12" i="1"/>
  <c r="C13" i="1"/>
  <c r="C14" i="1"/>
  <c r="C15" i="1"/>
  <c r="C16" i="1"/>
  <c r="C17" i="1"/>
  <c r="A7" i="6" l="1"/>
  <c r="A8" i="6"/>
  <c r="A30" i="6" l="1"/>
  <c r="G36" i="6"/>
  <c r="G35" i="6"/>
  <c r="A35" i="6" s="1"/>
  <c r="F50" i="3" l="1"/>
  <c r="Y9" i="2" l="1"/>
  <c r="Y10" i="2" s="1"/>
  <c r="Y11" i="2" s="1"/>
  <c r="Y12" i="2" s="1"/>
  <c r="Y13" i="2" s="1"/>
  <c r="Y14" i="2" s="1"/>
  <c r="Y15" i="2" s="1"/>
  <c r="Y16" i="2" s="1"/>
  <c r="Y17" i="2" s="1"/>
  <c r="Y18" i="2" s="1"/>
  <c r="Y19" i="2" s="1"/>
  <c r="Y20" i="2" s="1"/>
  <c r="Y21" i="2" s="1"/>
  <c r="Y22" i="2" s="1"/>
  <c r="Y23" i="2" s="1"/>
  <c r="Y24" i="2" s="1"/>
  <c r="Y25" i="2" s="1"/>
  <c r="Y26" i="2" s="1"/>
  <c r="Y27" i="2" s="1"/>
  <c r="Y28" i="2" s="1"/>
  <c r="Y29" i="2" s="1"/>
  <c r="Y30" i="2" s="1"/>
  <c r="Y31" i="2" s="1"/>
  <c r="Y32" i="2" s="1"/>
  <c r="Y33" i="2" s="1"/>
  <c r="Y34" i="2" s="1"/>
  <c r="Y35" i="2" s="1"/>
  <c r="Y36" i="2" s="1"/>
  <c r="Y37" i="2" s="1"/>
  <c r="Y38" i="2" s="1"/>
  <c r="Y39" i="2" s="1"/>
  <c r="Y40" i="2" s="1"/>
  <c r="Y41" i="2" s="1"/>
  <c r="Y42" i="2" s="1"/>
  <c r="Y43" i="2" s="1"/>
  <c r="Y44" i="2" s="1"/>
  <c r="Y45" i="2" s="1"/>
  <c r="Y46" i="2" s="1"/>
  <c r="Y47" i="2" s="1"/>
  <c r="Y48" i="2" s="1"/>
  <c r="Y49" i="2" s="1"/>
  <c r="Y50" i="2" s="1"/>
  <c r="Y51" i="2" s="1"/>
  <c r="Y52" i="2" s="1"/>
  <c r="Y53" i="2" s="1"/>
  <c r="Y54" i="2" s="1"/>
  <c r="Y55" i="2" s="1"/>
  <c r="Y56" i="2" s="1"/>
  <c r="Y57" i="2" s="1"/>
  <c r="Y58" i="2" s="1"/>
  <c r="Y59" i="2" s="1"/>
  <c r="Y60" i="2" s="1"/>
  <c r="Y61" i="2" s="1"/>
  <c r="Y62" i="2" s="1"/>
  <c r="Y63" i="2" s="1"/>
  <c r="Y64" i="2" s="1"/>
  <c r="Y65" i="2" s="1"/>
  <c r="Y66" i="2" s="1"/>
  <c r="Y67" i="2" s="1"/>
  <c r="Y68" i="2" s="1"/>
  <c r="Y69" i="2" s="1"/>
  <c r="Y70" i="2" s="1"/>
  <c r="Y71" i="2" s="1"/>
  <c r="Y72" i="2" s="1"/>
  <c r="Y73" i="2" s="1"/>
  <c r="Y74" i="2" s="1"/>
  <c r="Y75" i="2" s="1"/>
  <c r="Y76" i="2" s="1"/>
  <c r="Y77" i="2" s="1"/>
  <c r="Y78" i="2" s="1"/>
  <c r="Y79" i="2" s="1"/>
  <c r="L49" i="1"/>
  <c r="D28" i="8" l="1"/>
  <c r="D29" i="8" l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s="1"/>
  <c r="D50" i="8"/>
  <c r="D51" i="8" l="1"/>
  <c r="D52" i="8" l="1"/>
  <c r="D53" i="8" l="1"/>
  <c r="D54" i="8" l="1"/>
  <c r="D55" i="8" l="1"/>
  <c r="D56" i="8" l="1"/>
  <c r="D57" i="8" l="1"/>
  <c r="D58" i="8" l="1"/>
  <c r="D59" i="8" l="1"/>
  <c r="D60" i="8" l="1"/>
  <c r="D61" i="8" l="1"/>
  <c r="D62" i="8" l="1"/>
  <c r="D63" i="8" l="1"/>
  <c r="D64" i="8" l="1"/>
  <c r="D65" i="8" l="1"/>
  <c r="D66" i="8" l="1"/>
  <c r="D67" i="8" l="1"/>
  <c r="D68" i="8" l="1"/>
  <c r="D69" i="8" l="1"/>
  <c r="D70" i="8" l="1"/>
  <c r="D71" i="8" l="1"/>
  <c r="D72" i="8" l="1"/>
  <c r="D73" i="8" l="1"/>
  <c r="D74" i="8" l="1"/>
  <c r="D75" i="8" l="1"/>
  <c r="D76" i="8" l="1"/>
  <c r="D77" i="8" l="1"/>
  <c r="D78" i="8" l="1"/>
  <c r="D79" i="8" l="1"/>
  <c r="D80" i="8" l="1"/>
  <c r="D81" i="8" l="1"/>
  <c r="D82" i="8" l="1"/>
  <c r="D83" i="8" l="1"/>
  <c r="D84" i="8" l="1"/>
  <c r="D85" i="8" l="1"/>
  <c r="D86" i="8" l="1"/>
  <c r="D87" i="8" l="1"/>
  <c r="D88" i="8" l="1"/>
  <c r="D89" i="8" l="1"/>
  <c r="D90" i="8" l="1"/>
  <c r="D91" i="8" l="1"/>
  <c r="D92" i="8" l="1"/>
  <c r="D93" i="8" l="1"/>
  <c r="D94" i="8" l="1"/>
  <c r="D95" i="8" l="1"/>
  <c r="D96" i="8" l="1"/>
  <c r="D97" i="8" l="1"/>
  <c r="D98" i="8" l="1"/>
  <c r="D99" i="8" l="1"/>
  <c r="D100" i="8" l="1"/>
  <c r="D101" i="8" l="1"/>
  <c r="D102" i="8" l="1"/>
  <c r="D103" i="8" l="1"/>
  <c r="D104" i="8" l="1"/>
  <c r="D105" i="8" l="1"/>
  <c r="D106" i="8" l="1"/>
  <c r="D107" i="8" l="1"/>
  <c r="D108" i="8" l="1"/>
  <c r="D109" i="8" l="1"/>
  <c r="D110" i="8" l="1"/>
  <c r="D111" i="8" l="1"/>
  <c r="D112" i="8" l="1"/>
  <c r="D113" i="8" l="1"/>
  <c r="D114" i="8" l="1"/>
  <c r="D115" i="8" l="1"/>
  <c r="D116" i="8" l="1"/>
  <c r="D117" i="8" l="1"/>
  <c r="D118" i="8" l="1"/>
  <c r="D119" i="8" l="1"/>
  <c r="D120" i="8" l="1"/>
  <c r="D121" i="8" l="1"/>
  <c r="D122" i="8" l="1"/>
  <c r="D123" i="8" l="1"/>
  <c r="D124" i="8" l="1"/>
  <c r="D125" i="8" l="1"/>
  <c r="D126" i="8" l="1"/>
  <c r="D127" i="8" l="1"/>
  <c r="D128" i="8" l="1"/>
  <c r="D129" i="8" l="1"/>
  <c r="D130" i="8" l="1"/>
  <c r="D131" i="8" l="1"/>
  <c r="D132" i="8" l="1"/>
  <c r="D133" i="8" l="1"/>
  <c r="D134" i="8" l="1"/>
  <c r="D135" i="8" l="1"/>
  <c r="D136" i="8" l="1"/>
  <c r="D137" i="8" l="1"/>
  <c r="D138" i="8" l="1"/>
  <c r="D139" i="8" l="1"/>
  <c r="D140" i="8" l="1"/>
  <c r="D141" i="8" l="1"/>
  <c r="D142" i="8" l="1"/>
  <c r="D143" i="8" l="1"/>
  <c r="D144" i="8" l="1"/>
  <c r="D145" i="8" l="1"/>
  <c r="D146" i="8" l="1"/>
  <c r="D147" i="8" l="1"/>
  <c r="D148" i="8" l="1"/>
  <c r="D149" i="8" l="1"/>
  <c r="D150" i="8" l="1"/>
  <c r="D151" i="8" l="1"/>
  <c r="D152" i="8" l="1"/>
  <c r="D153" i="8" l="1"/>
  <c r="D154" i="8" l="1"/>
  <c r="D155" i="8" l="1"/>
  <c r="D156" i="8" l="1"/>
  <c r="D157" i="8" l="1"/>
  <c r="D158" i="8" l="1"/>
  <c r="D159" i="8" l="1"/>
  <c r="D160" i="8" l="1"/>
  <c r="D161" i="8" l="1"/>
  <c r="D162" i="8" l="1"/>
  <c r="D163" i="8" l="1"/>
  <c r="D164" i="8" l="1"/>
  <c r="D165" i="8" l="1"/>
  <c r="D166" i="8" l="1"/>
  <c r="D167" i="8" l="1"/>
  <c r="D168" i="8" l="1"/>
  <c r="D169" i="8" l="1"/>
  <c r="D170" i="8" l="1"/>
  <c r="D171" i="8" l="1"/>
  <c r="D172" i="8" l="1"/>
  <c r="D173" i="8" l="1"/>
  <c r="D174" i="8" l="1"/>
  <c r="D175" i="8" l="1"/>
  <c r="D176" i="8" l="1"/>
  <c r="D177" i="8" l="1"/>
  <c r="D178" i="8" l="1"/>
  <c r="D179" i="8" l="1"/>
  <c r="D180" i="8" l="1"/>
  <c r="D181" i="8" l="1"/>
  <c r="D182" i="8" l="1"/>
  <c r="D183" i="8" l="1"/>
  <c r="D184" i="8" l="1"/>
  <c r="D185" i="8" l="1"/>
  <c r="D186" i="8" l="1"/>
  <c r="D187" i="8" l="1"/>
  <c r="D188" i="8" l="1"/>
  <c r="D189" i="8" l="1"/>
  <c r="D190" i="8" l="1"/>
  <c r="D191" i="8" l="1"/>
  <c r="D192" i="8" l="1"/>
  <c r="D193" i="8" l="1"/>
  <c r="D194" i="8" l="1"/>
  <c r="D195" i="8" l="1"/>
  <c r="D196" i="8" l="1"/>
  <c r="D197" i="8" l="1"/>
  <c r="D198" i="8" l="1"/>
  <c r="D199" i="8" l="1"/>
  <c r="D200" i="8" l="1"/>
  <c r="D201" i="8" l="1"/>
  <c r="D202" i="8" l="1"/>
  <c r="D203" i="8" l="1"/>
  <c r="D204" i="8" l="1"/>
  <c r="D205" i="8" l="1"/>
  <c r="D206" i="8" l="1"/>
  <c r="D207" i="8" l="1"/>
  <c r="D208" i="8" l="1"/>
  <c r="D209" i="8" l="1"/>
  <c r="D210" i="8" l="1"/>
  <c r="D211" i="8" l="1"/>
  <c r="D212" i="8" l="1"/>
  <c r="D213" i="8" l="1"/>
  <c r="D214" i="8" l="1"/>
  <c r="D215" i="8" l="1"/>
  <c r="D216" i="8" l="1"/>
  <c r="D217" i="8" l="1"/>
  <c r="D218" i="8" l="1"/>
  <c r="D219" i="8" l="1"/>
  <c r="D220" i="8" l="1"/>
  <c r="D221" i="8" l="1"/>
  <c r="D222" i="8" l="1"/>
  <c r="D223" i="8" l="1"/>
  <c r="D224" i="8" l="1"/>
  <c r="D225" i="8" l="1"/>
  <c r="D226" i="8" l="1"/>
  <c r="D227" i="8" l="1"/>
  <c r="D228" i="8" l="1"/>
  <c r="D229" i="8" l="1"/>
  <c r="D230" i="8" l="1"/>
  <c r="D231" i="8" l="1"/>
  <c r="D232" i="8" l="1"/>
  <c r="D233" i="8" l="1"/>
  <c r="D234" i="8" l="1"/>
  <c r="D235" i="8" l="1"/>
  <c r="D236" i="8" l="1"/>
  <c r="D237" i="8" l="1"/>
  <c r="D238" i="8" l="1"/>
  <c r="D239" i="8" l="1"/>
  <c r="D240" i="8" l="1"/>
  <c r="D241" i="8" l="1"/>
  <c r="D242" i="8" l="1"/>
  <c r="D243" i="8" l="1"/>
  <c r="D244" i="8" l="1"/>
  <c r="D245" i="8" l="1"/>
  <c r="D246" i="8" l="1"/>
  <c r="D247" i="8" l="1"/>
  <c r="D248" i="8" l="1"/>
  <c r="D249" i="8" l="1"/>
  <c r="D250" i="8" l="1"/>
  <c r="D251" i="8" l="1"/>
  <c r="D252" i="8" l="1"/>
  <c r="D253" i="8" l="1"/>
  <c r="D254" i="8" l="1"/>
  <c r="D255" i="8" l="1"/>
  <c r="D256" i="8" l="1"/>
  <c r="D257" i="8" l="1"/>
  <c r="D258" i="8" l="1"/>
  <c r="D259" i="8" l="1"/>
  <c r="D260" i="8" l="1"/>
  <c r="D261" i="8" l="1"/>
  <c r="D262" i="8" l="1"/>
  <c r="D263" i="8" s="1"/>
  <c r="D264" i="8" s="1"/>
  <c r="D265" i="8" s="1"/>
  <c r="D266" i="8" s="1"/>
  <c r="D267" i="8" s="1"/>
  <c r="D268" i="8" s="1"/>
  <c r="D269" i="8" l="1"/>
  <c r="H268" i="8"/>
  <c r="H269" i="8" l="1"/>
  <c r="D270" i="8"/>
  <c r="D271" i="8" l="1"/>
  <c r="H270" i="8"/>
  <c r="D272" i="8" l="1"/>
  <c r="H271" i="8"/>
  <c r="H272" i="8" l="1"/>
  <c r="D273" i="8"/>
  <c r="H273" i="8" l="1"/>
  <c r="D274" i="8"/>
  <c r="D275" i="8" l="1"/>
  <c r="H274" i="8"/>
  <c r="H275" i="8" l="1"/>
  <c r="D276" i="8"/>
  <c r="H276" i="8" l="1"/>
  <c r="D277" i="8"/>
  <c r="D278" i="8" l="1"/>
  <c r="H277" i="8"/>
  <c r="H278" i="8" l="1"/>
  <c r="D279" i="8"/>
  <c r="H279" i="8" l="1"/>
  <c r="D280" i="8"/>
  <c r="H280" i="8" l="1"/>
  <c r="D281" i="8"/>
  <c r="H281" i="8" l="1"/>
  <c r="D282" i="8"/>
  <c r="D283" i="8" l="1"/>
  <c r="H282" i="8"/>
  <c r="D284" i="8" l="1"/>
  <c r="H283" i="8"/>
  <c r="D285" i="8" l="1"/>
  <c r="H284" i="8"/>
  <c r="H285" i="8" l="1"/>
  <c r="D286" i="8"/>
  <c r="D287" i="8" l="1"/>
  <c r="H286" i="8"/>
  <c r="H287" i="8" l="1"/>
  <c r="D288" i="8"/>
  <c r="H288" i="8" l="1"/>
  <c r="D289" i="8"/>
  <c r="D290" i="8" l="1"/>
  <c r="H289" i="8"/>
  <c r="H290" i="8" l="1"/>
  <c r="D291" i="8"/>
  <c r="H291" i="8" l="1"/>
  <c r="D292" i="8"/>
  <c r="H292" i="8" l="1"/>
  <c r="D293" i="8"/>
  <c r="D294" i="8" l="1"/>
  <c r="H293" i="8"/>
  <c r="H294" i="8" l="1"/>
  <c r="D295" i="8"/>
  <c r="H295" i="8" l="1"/>
  <c r="D296" i="8"/>
  <c r="D297" i="8" l="1"/>
  <c r="H296" i="8"/>
  <c r="D298" i="8" l="1"/>
  <c r="H297" i="8"/>
  <c r="D299" i="8" l="1"/>
  <c r="H298" i="8"/>
  <c r="D300" i="8" l="1"/>
  <c r="H299" i="8"/>
  <c r="D301" i="8" l="1"/>
  <c r="H300" i="8"/>
  <c r="H301" i="8" l="1"/>
  <c r="D302" i="8"/>
  <c r="H302" i="8" l="1"/>
  <c r="D303" i="8"/>
  <c r="D304" i="8" l="1"/>
  <c r="H303" i="8"/>
  <c r="D305" i="8" l="1"/>
  <c r="H304" i="8"/>
  <c r="D306" i="8" l="1"/>
  <c r="H305" i="8"/>
  <c r="H306" i="8" l="1"/>
  <c r="D307" i="8"/>
  <c r="H307" i="8" l="1"/>
  <c r="D308" i="8"/>
  <c r="H308" i="8" l="1"/>
  <c r="D309" i="8"/>
  <c r="H309" i="8" l="1"/>
  <c r="D310" i="8"/>
  <c r="D311" i="8" l="1"/>
  <c r="H310" i="8"/>
  <c r="H311" i="8" l="1"/>
  <c r="D312" i="8"/>
  <c r="D313" i="8" l="1"/>
  <c r="H312" i="8"/>
  <c r="D314" i="8" l="1"/>
  <c r="H313" i="8"/>
  <c r="H314" i="8" l="1"/>
  <c r="D315" i="8"/>
  <c r="H315" i="8" l="1"/>
  <c r="D316" i="8"/>
  <c r="D317" i="8" l="1"/>
  <c r="H316" i="8"/>
  <c r="H317" i="8" l="1"/>
  <c r="D318" i="8"/>
  <c r="H318" i="8" l="1"/>
  <c r="D319" i="8"/>
  <c r="H319" i="8" l="1"/>
  <c r="D320" i="8"/>
  <c r="H320" i="8" l="1"/>
  <c r="D321" i="8"/>
  <c r="D322" i="8" l="1"/>
  <c r="H321" i="8"/>
  <c r="H322" i="8" l="1"/>
  <c r="D323" i="8"/>
  <c r="D324" i="8" l="1"/>
  <c r="H323" i="8"/>
  <c r="D325" i="8" l="1"/>
  <c r="H324" i="8"/>
  <c r="D326" i="8" l="1"/>
  <c r="H325" i="8"/>
  <c r="D327" i="8" l="1"/>
  <c r="H326" i="8"/>
  <c r="D328" i="8" l="1"/>
  <c r="H327" i="8"/>
  <c r="H328" i="8" l="1"/>
  <c r="D329" i="8"/>
  <c r="D330" i="8" l="1"/>
  <c r="H329" i="8"/>
  <c r="H330" i="8" l="1"/>
  <c r="D331" i="8"/>
  <c r="D332" i="8" l="1"/>
  <c r="H331" i="8"/>
  <c r="D333" i="8" l="1"/>
  <c r="H332" i="8"/>
  <c r="D334" i="8" l="1"/>
  <c r="H333" i="8"/>
  <c r="H334" i="8" l="1"/>
  <c r="D335" i="8"/>
  <c r="H335" i="8" l="1"/>
  <c r="D336" i="8"/>
  <c r="D337" i="8" l="1"/>
  <c r="H336" i="8"/>
  <c r="D338" i="8" l="1"/>
  <c r="H337" i="8"/>
  <c r="D339" i="8" l="1"/>
  <c r="H338" i="8"/>
  <c r="H339" i="8" l="1"/>
  <c r="D340" i="8"/>
  <c r="D341" i="8" l="1"/>
  <c r="H340" i="8"/>
  <c r="D342" i="8" l="1"/>
  <c r="H341" i="8"/>
  <c r="H342" i="8" l="1"/>
  <c r="D343" i="8"/>
  <c r="H343" i="8" l="1"/>
  <c r="D344" i="8"/>
  <c r="H344" i="8" l="1"/>
  <c r="D345" i="8"/>
  <c r="H345" i="8" l="1"/>
  <c r="D346" i="8"/>
  <c r="D347" i="8" l="1"/>
  <c r="H346" i="8"/>
  <c r="D348" i="8" l="1"/>
  <c r="H347" i="8"/>
  <c r="H348" i="8" l="1"/>
  <c r="D349" i="8"/>
  <c r="D350" i="8" l="1"/>
  <c r="H349" i="8"/>
  <c r="H350" i="8" l="1"/>
  <c r="D351" i="8"/>
  <c r="H351" i="8" l="1"/>
  <c r="D352" i="8"/>
  <c r="H352" i="8" l="1"/>
  <c r="D353" i="8"/>
  <c r="D354" i="8" l="1"/>
  <c r="H353" i="8"/>
  <c r="H354" i="8" l="1"/>
  <c r="D355" i="8"/>
  <c r="H355" i="8" l="1"/>
  <c r="D356" i="8"/>
  <c r="D357" i="8" l="1"/>
  <c r="H356" i="8"/>
  <c r="D358" i="8" l="1"/>
  <c r="H357" i="8"/>
  <c r="H358" i="8" l="1"/>
  <c r="D359" i="8"/>
  <c r="H359" i="8" l="1"/>
  <c r="D360" i="8"/>
  <c r="H360" i="8" l="1"/>
  <c r="D361" i="8"/>
  <c r="H361" i="8" l="1"/>
  <c r="D362" i="8"/>
  <c r="H362" i="8" l="1"/>
  <c r="D363" i="8"/>
  <c r="D364" i="8" l="1"/>
  <c r="H363" i="8"/>
  <c r="H364" i="8" l="1"/>
  <c r="D365" i="8"/>
  <c r="H365" i="8" l="1"/>
  <c r="D366" i="8"/>
  <c r="D367" i="8" l="1"/>
  <c r="H366" i="8"/>
  <c r="D368" i="8" l="1"/>
  <c r="H367" i="8"/>
  <c r="H368" i="8" l="1"/>
  <c r="D369" i="8"/>
  <c r="D370" i="8" l="1"/>
  <c r="H369" i="8"/>
  <c r="H370" i="8" l="1"/>
  <c r="D371" i="8"/>
  <c r="D372" i="8" l="1"/>
  <c r="H371" i="8"/>
  <c r="H372" i="8" l="1"/>
  <c r="D373" i="8"/>
  <c r="D374" i="8" l="1"/>
  <c r="H373" i="8"/>
  <c r="D375" i="8" l="1"/>
  <c r="H374" i="8"/>
  <c r="D376" i="8" l="1"/>
  <c r="H375" i="8"/>
  <c r="H376" i="8" l="1"/>
  <c r="D377" i="8"/>
  <c r="H377" i="8" l="1"/>
  <c r="D378" i="8"/>
  <c r="H378" i="8" l="1"/>
  <c r="D379" i="8"/>
  <c r="H379" i="8" l="1"/>
  <c r="D380" i="8"/>
  <c r="H380" i="8" l="1"/>
  <c r="D381" i="8"/>
  <c r="H381" i="8" l="1"/>
  <c r="D382" i="8"/>
  <c r="D383" i="8" l="1"/>
  <c r="H382" i="8"/>
  <c r="D384" i="8" l="1"/>
  <c r="H383" i="8"/>
  <c r="H384" i="8" l="1"/>
  <c r="D385" i="8"/>
  <c r="H385" i="8" l="1"/>
  <c r="D386" i="8"/>
  <c r="H386" i="8" l="1"/>
  <c r="D387" i="8"/>
  <c r="H387" i="8" s="1"/>
  <c r="A5" i="6" l="1"/>
  <c r="G15" i="7" l="1"/>
  <c r="G27" i="6" l="1"/>
  <c r="A27" i="6" s="1"/>
  <c r="A36" i="6"/>
  <c r="G26" i="6"/>
  <c r="A26" i="6" s="1"/>
  <c r="E31" i="6"/>
  <c r="E32" i="6" s="1"/>
  <c r="E33" i="6" s="1"/>
  <c r="E34" i="6" s="1"/>
  <c r="E35" i="6" s="1"/>
  <c r="E36" i="6" s="1"/>
  <c r="E37" i="6" s="1"/>
  <c r="E38" i="6" s="1"/>
  <c r="E22" i="6"/>
  <c r="E23" i="6" s="1"/>
  <c r="E24" i="6" s="1"/>
  <c r="E25" i="6" s="1"/>
  <c r="E26" i="6" s="1"/>
  <c r="E27" i="6" s="1"/>
  <c r="E28" i="6" s="1"/>
  <c r="E29" i="6" s="1"/>
  <c r="G37" i="6" l="1"/>
  <c r="A37" i="6" s="1"/>
  <c r="G28" i="6"/>
  <c r="A28" i="6" s="1"/>
  <c r="G25" i="6"/>
  <c r="A25" i="6" s="1"/>
  <c r="G21" i="6"/>
  <c r="A21" i="6" s="1"/>
  <c r="E13" i="6" s="1"/>
  <c r="G31" i="6"/>
  <c r="A31" i="6" s="1"/>
  <c r="G23" i="6"/>
  <c r="A23" i="6" s="1"/>
  <c r="G33" i="6"/>
  <c r="A33" i="6" s="1"/>
  <c r="G29" i="6"/>
  <c r="A29" i="6" s="1"/>
  <c r="G32" i="6"/>
  <c r="A32" i="6" s="1"/>
  <c r="G24" i="6"/>
  <c r="A24" i="6" s="1"/>
  <c r="G38" i="6"/>
  <c r="A38" i="6" s="1"/>
  <c r="G34" i="6"/>
  <c r="A34" i="6" s="1"/>
  <c r="G22" i="6"/>
  <c r="A22" i="6" s="1"/>
  <c r="A20" i="9"/>
  <c r="B22" i="9"/>
  <c r="B21" i="9"/>
  <c r="D27" i="9" s="1"/>
  <c r="B27" i="9" l="1"/>
  <c r="A19" i="9" l="1"/>
  <c r="A18" i="9"/>
  <c r="C27" i="9" s="1"/>
  <c r="A17" i="9"/>
  <c r="B17" i="9" s="1"/>
  <c r="D9" i="8"/>
  <c r="D7" i="8"/>
  <c r="E27" i="8" s="1"/>
  <c r="D6" i="8"/>
  <c r="E27" i="9" l="1"/>
  <c r="D18" i="8" s="1"/>
  <c r="D26" i="9"/>
  <c r="B24" i="9"/>
  <c r="I7" i="8" s="1"/>
  <c r="C26" i="9"/>
  <c r="B26" i="9"/>
  <c r="B25" i="9"/>
  <c r="D15" i="8" s="1"/>
  <c r="D16" i="8" s="1"/>
  <c r="F16" i="8" s="1"/>
  <c r="H17" i="4"/>
  <c r="E26" i="9" l="1"/>
  <c r="D17" i="8" s="1"/>
  <c r="D19" i="8" s="1"/>
  <c r="V8" i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S56" i="2"/>
  <c r="S57" i="2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S69" i="2" s="1"/>
  <c r="S70" i="2" s="1"/>
  <c r="S71" i="2" s="1"/>
  <c r="S72" i="2" s="1"/>
  <c r="S73" i="2" s="1"/>
  <c r="S74" i="2" s="1"/>
  <c r="S75" i="2" s="1"/>
  <c r="Q55" i="1"/>
  <c r="Q56" i="1"/>
  <c r="Q57" i="1"/>
  <c r="Q58" i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M68" i="2"/>
  <c r="M69" i="2"/>
  <c r="M70" i="2" s="1"/>
  <c r="M71" i="2" s="1"/>
  <c r="M72" i="2" s="1"/>
  <c r="M73" i="2" s="1"/>
  <c r="M74" i="2" s="1"/>
  <c r="M75" i="2" s="1"/>
  <c r="L62" i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F28" i="8" l="1"/>
  <c r="H28" i="8"/>
  <c r="G28" i="8" s="1"/>
  <c r="E28" i="8" s="1"/>
  <c r="M63" i="2"/>
  <c r="M64" i="2"/>
  <c r="M65" i="2" s="1"/>
  <c r="M66" i="2" s="1"/>
  <c r="M67" i="2" s="1"/>
  <c r="Q54" i="1"/>
  <c r="F29" i="8" l="1"/>
  <c r="H29" i="8"/>
  <c r="G29" i="8" s="1"/>
  <c r="E29" i="8" s="1"/>
  <c r="AB21" i="3"/>
  <c r="AD21" i="3"/>
  <c r="AE21" i="3"/>
  <c r="AF21" i="3"/>
  <c r="AB22" i="3"/>
  <c r="AD22" i="3"/>
  <c r="AE22" i="3"/>
  <c r="AF22" i="3"/>
  <c r="AB23" i="3"/>
  <c r="AD23" i="3"/>
  <c r="AE23" i="3"/>
  <c r="AF23" i="3"/>
  <c r="AB24" i="3"/>
  <c r="AD24" i="3"/>
  <c r="AE24" i="3"/>
  <c r="AF24" i="3"/>
  <c r="AB25" i="3"/>
  <c r="AD25" i="3"/>
  <c r="AE25" i="3"/>
  <c r="AF25" i="3"/>
  <c r="AB26" i="3"/>
  <c r="AD26" i="3"/>
  <c r="AE26" i="3"/>
  <c r="AF26" i="3"/>
  <c r="AB27" i="3"/>
  <c r="AD27" i="3"/>
  <c r="AE27" i="3"/>
  <c r="AF27" i="3"/>
  <c r="AB28" i="3"/>
  <c r="AD28" i="3"/>
  <c r="AE28" i="3"/>
  <c r="AF28" i="3"/>
  <c r="AB29" i="3"/>
  <c r="AD29" i="3"/>
  <c r="AE29" i="3"/>
  <c r="AF29" i="3"/>
  <c r="AB30" i="3"/>
  <c r="AD30" i="3"/>
  <c r="AE30" i="3"/>
  <c r="AF30" i="3"/>
  <c r="AB31" i="3"/>
  <c r="AD31" i="3"/>
  <c r="AE31" i="3"/>
  <c r="AF31" i="3"/>
  <c r="AB32" i="3"/>
  <c r="AD32" i="3"/>
  <c r="AE32" i="3"/>
  <c r="AF32" i="3"/>
  <c r="AB33" i="3"/>
  <c r="AD33" i="3"/>
  <c r="AE33" i="3"/>
  <c r="AF33" i="3"/>
  <c r="AB34" i="3"/>
  <c r="AD34" i="3"/>
  <c r="AE34" i="3"/>
  <c r="AF34" i="3"/>
  <c r="AB35" i="3"/>
  <c r="AD35" i="3"/>
  <c r="AE35" i="3"/>
  <c r="AF35" i="3"/>
  <c r="AB36" i="3"/>
  <c r="AD36" i="3"/>
  <c r="AE36" i="3"/>
  <c r="AF36" i="3"/>
  <c r="AB37" i="3"/>
  <c r="AD37" i="3"/>
  <c r="AE37" i="3"/>
  <c r="AF37" i="3"/>
  <c r="AB38" i="3"/>
  <c r="AD38" i="3"/>
  <c r="AE38" i="3"/>
  <c r="AF38" i="3"/>
  <c r="AB39" i="3"/>
  <c r="AD39" i="3"/>
  <c r="AE39" i="3"/>
  <c r="AF39" i="3"/>
  <c r="AB40" i="3"/>
  <c r="AD40" i="3"/>
  <c r="AE40" i="3"/>
  <c r="AF40" i="3"/>
  <c r="AB41" i="3"/>
  <c r="AD41" i="3"/>
  <c r="AE41" i="3"/>
  <c r="AF41" i="3"/>
  <c r="AB42" i="3"/>
  <c r="AD42" i="3"/>
  <c r="AE42" i="3"/>
  <c r="AF42" i="3"/>
  <c r="AB43" i="3"/>
  <c r="AD43" i="3"/>
  <c r="AE43" i="3"/>
  <c r="AF43" i="3"/>
  <c r="AB44" i="3"/>
  <c r="AD44" i="3"/>
  <c r="AE44" i="3"/>
  <c r="AF44" i="3"/>
  <c r="AB45" i="3"/>
  <c r="AD45" i="3"/>
  <c r="AE45" i="3"/>
  <c r="AF45" i="3"/>
  <c r="AB46" i="3"/>
  <c r="AD46" i="3"/>
  <c r="AE46" i="3"/>
  <c r="AF46" i="3"/>
  <c r="AB47" i="3"/>
  <c r="AD47" i="3"/>
  <c r="AE47" i="3"/>
  <c r="AF47" i="3"/>
  <c r="AB48" i="3"/>
  <c r="AD48" i="3"/>
  <c r="AE48" i="3"/>
  <c r="AF48" i="3"/>
  <c r="AB49" i="3"/>
  <c r="AD49" i="3"/>
  <c r="AE49" i="3"/>
  <c r="AF49" i="3"/>
  <c r="AB50" i="3"/>
  <c r="AD50" i="3"/>
  <c r="AE50" i="3"/>
  <c r="AF50" i="3"/>
  <c r="AB51" i="3"/>
  <c r="AD51" i="3"/>
  <c r="AE51" i="3"/>
  <c r="AF51" i="3"/>
  <c r="AB52" i="3"/>
  <c r="AD52" i="3"/>
  <c r="AE52" i="3"/>
  <c r="AF52" i="3"/>
  <c r="AB53" i="3"/>
  <c r="AD53" i="3"/>
  <c r="AE53" i="3"/>
  <c r="AF53" i="3"/>
  <c r="AB54" i="3"/>
  <c r="AD54" i="3"/>
  <c r="AE54" i="3"/>
  <c r="AF54" i="3"/>
  <c r="AB55" i="3"/>
  <c r="AD55" i="3"/>
  <c r="AE55" i="3"/>
  <c r="AF55" i="3"/>
  <c r="AB56" i="3"/>
  <c r="AD56" i="3"/>
  <c r="AE56" i="3"/>
  <c r="AF56" i="3"/>
  <c r="AB57" i="3"/>
  <c r="AD57" i="3"/>
  <c r="AE57" i="3"/>
  <c r="AF57" i="3"/>
  <c r="AB58" i="3"/>
  <c r="AD58" i="3"/>
  <c r="AE58" i="3"/>
  <c r="AF58" i="3"/>
  <c r="AB59" i="3"/>
  <c r="AD59" i="3"/>
  <c r="AE59" i="3"/>
  <c r="AF59" i="3"/>
  <c r="AC60" i="3"/>
  <c r="AD60" i="3"/>
  <c r="AE60" i="3"/>
  <c r="AF60" i="3"/>
  <c r="AC61" i="3"/>
  <c r="AD61" i="3"/>
  <c r="AE61" i="3"/>
  <c r="AF61" i="3"/>
  <c r="AC62" i="3"/>
  <c r="AD62" i="3"/>
  <c r="AE62" i="3"/>
  <c r="AF62" i="3"/>
  <c r="AC63" i="3"/>
  <c r="AD63" i="3"/>
  <c r="AE63" i="3"/>
  <c r="AF63" i="3"/>
  <c r="AC64" i="3"/>
  <c r="AD64" i="3"/>
  <c r="AE64" i="3"/>
  <c r="AF64" i="3"/>
  <c r="AC65" i="3"/>
  <c r="AD65" i="3"/>
  <c r="AE65" i="3"/>
  <c r="AF65" i="3"/>
  <c r="AC66" i="3"/>
  <c r="AD66" i="3"/>
  <c r="AE66" i="3"/>
  <c r="AF66" i="3"/>
  <c r="AC67" i="3"/>
  <c r="AD67" i="3"/>
  <c r="AE67" i="3"/>
  <c r="AF67" i="3"/>
  <c r="AC68" i="3"/>
  <c r="AE68" i="3"/>
  <c r="AF68" i="3"/>
  <c r="AC69" i="3"/>
  <c r="AE69" i="3"/>
  <c r="AF69" i="3"/>
  <c r="AC70" i="3"/>
  <c r="AE70" i="3"/>
  <c r="AF70" i="3"/>
  <c r="AC71" i="3"/>
  <c r="AE71" i="3"/>
  <c r="AF71" i="3"/>
  <c r="AC72" i="3"/>
  <c r="AE72" i="3"/>
  <c r="AF72" i="3"/>
  <c r="AC73" i="3"/>
  <c r="AE73" i="3"/>
  <c r="AF73" i="3"/>
  <c r="AC74" i="3"/>
  <c r="AE74" i="3"/>
  <c r="AF74" i="3"/>
  <c r="AC75" i="3"/>
  <c r="AE75" i="3"/>
  <c r="AF75" i="3"/>
  <c r="AC76" i="3"/>
  <c r="AE76" i="3"/>
  <c r="AF76" i="3"/>
  <c r="AC77" i="3"/>
  <c r="AE77" i="3"/>
  <c r="AF77" i="3"/>
  <c r="AC78" i="3"/>
  <c r="AE78" i="3"/>
  <c r="AF78" i="3"/>
  <c r="AC79" i="3"/>
  <c r="AF79" i="3"/>
  <c r="AC80" i="3"/>
  <c r="AF80" i="3"/>
  <c r="AC81" i="3"/>
  <c r="AF81" i="3"/>
  <c r="AC82" i="3"/>
  <c r="AF82" i="3"/>
  <c r="AC83" i="3"/>
  <c r="AF83" i="3"/>
  <c r="AC84" i="3"/>
  <c r="AF84" i="3"/>
  <c r="AC85" i="3"/>
  <c r="AF85" i="3"/>
  <c r="AC86" i="3"/>
  <c r="AF86" i="3"/>
  <c r="AC87" i="3"/>
  <c r="AF87" i="3"/>
  <c r="AC88" i="3"/>
  <c r="AF88" i="3"/>
  <c r="AC89" i="3"/>
  <c r="AF89" i="3"/>
  <c r="AC90" i="3"/>
  <c r="AF90" i="3"/>
  <c r="AC91" i="3"/>
  <c r="AF91" i="3"/>
  <c r="AC92" i="3"/>
  <c r="AF92" i="3"/>
  <c r="AC93" i="3"/>
  <c r="AF93" i="3"/>
  <c r="AC94" i="3"/>
  <c r="AF94" i="3"/>
  <c r="AC95" i="3"/>
  <c r="AF95" i="3"/>
  <c r="AC96" i="3"/>
  <c r="AF96" i="3"/>
  <c r="AC97" i="3"/>
  <c r="AF97" i="3"/>
  <c r="AC98" i="3"/>
  <c r="AF98" i="3"/>
  <c r="AC99" i="3"/>
  <c r="AF99" i="3"/>
  <c r="AB100" i="3"/>
  <c r="AC100" i="3"/>
  <c r="AF100" i="3"/>
  <c r="AB101" i="3"/>
  <c r="AC101" i="3"/>
  <c r="AF101" i="3"/>
  <c r="AB102" i="3"/>
  <c r="AC102" i="3"/>
  <c r="AF102" i="3"/>
  <c r="AB103" i="3"/>
  <c r="AC103" i="3"/>
  <c r="AF103" i="3"/>
  <c r="AB104" i="3"/>
  <c r="AC104" i="3"/>
  <c r="AF104" i="3"/>
  <c r="AB105" i="3"/>
  <c r="AC105" i="3"/>
  <c r="AD105" i="3"/>
  <c r="AF105" i="3"/>
  <c r="AB106" i="3"/>
  <c r="AC106" i="3"/>
  <c r="AF106" i="3"/>
  <c r="AB107" i="3"/>
  <c r="AC107" i="3"/>
  <c r="AF107" i="3"/>
  <c r="AB108" i="3"/>
  <c r="AC108" i="3"/>
  <c r="AF108" i="3"/>
  <c r="AB109" i="3"/>
  <c r="AC109" i="3"/>
  <c r="AD109" i="3"/>
  <c r="AF109" i="3"/>
  <c r="AB110" i="3"/>
  <c r="AC110" i="3"/>
  <c r="AF110" i="3"/>
  <c r="AB111" i="3"/>
  <c r="AC111" i="3"/>
  <c r="AF111" i="3"/>
  <c r="AB112" i="3"/>
  <c r="AC112" i="3"/>
  <c r="AF112" i="3"/>
  <c r="V21" i="3"/>
  <c r="W21" i="3"/>
  <c r="X21" i="3"/>
  <c r="Y21" i="3"/>
  <c r="Z21" i="3"/>
  <c r="V22" i="3"/>
  <c r="W22" i="3"/>
  <c r="X22" i="3"/>
  <c r="Y22" i="3"/>
  <c r="Z22" i="3"/>
  <c r="V23" i="3"/>
  <c r="W23" i="3"/>
  <c r="X23" i="3"/>
  <c r="Y23" i="3"/>
  <c r="Z23" i="3"/>
  <c r="V24" i="3"/>
  <c r="W24" i="3"/>
  <c r="X24" i="3"/>
  <c r="Y24" i="3"/>
  <c r="Z24" i="3"/>
  <c r="V25" i="3"/>
  <c r="W25" i="3"/>
  <c r="X25" i="3"/>
  <c r="Y25" i="3"/>
  <c r="Z25" i="3"/>
  <c r="V26" i="3"/>
  <c r="W26" i="3"/>
  <c r="X26" i="3"/>
  <c r="Y26" i="3"/>
  <c r="Z26" i="3"/>
  <c r="V27" i="3"/>
  <c r="W27" i="3"/>
  <c r="X27" i="3"/>
  <c r="Y27" i="3"/>
  <c r="Z27" i="3"/>
  <c r="V28" i="3"/>
  <c r="W28" i="3"/>
  <c r="X28" i="3"/>
  <c r="Y28" i="3"/>
  <c r="Z28" i="3"/>
  <c r="V29" i="3"/>
  <c r="W29" i="3"/>
  <c r="X29" i="3"/>
  <c r="Y29" i="3"/>
  <c r="Z29" i="3"/>
  <c r="V30" i="3"/>
  <c r="W30" i="3"/>
  <c r="X30" i="3"/>
  <c r="Y30" i="3"/>
  <c r="Z30" i="3"/>
  <c r="V31" i="3"/>
  <c r="W31" i="3"/>
  <c r="X31" i="3"/>
  <c r="Y31" i="3"/>
  <c r="Z31" i="3"/>
  <c r="V32" i="3"/>
  <c r="W32" i="3"/>
  <c r="X32" i="3"/>
  <c r="Y32" i="3"/>
  <c r="Z32" i="3"/>
  <c r="V33" i="3"/>
  <c r="W33" i="3"/>
  <c r="X33" i="3"/>
  <c r="Y33" i="3"/>
  <c r="Z33" i="3"/>
  <c r="V34" i="3"/>
  <c r="W34" i="3"/>
  <c r="X34" i="3"/>
  <c r="Y34" i="3"/>
  <c r="Z34" i="3"/>
  <c r="V35" i="3"/>
  <c r="W35" i="3"/>
  <c r="X35" i="3"/>
  <c r="Y35" i="3"/>
  <c r="Z35" i="3"/>
  <c r="V36" i="3"/>
  <c r="W36" i="3"/>
  <c r="X36" i="3"/>
  <c r="Y36" i="3"/>
  <c r="Z36" i="3"/>
  <c r="V37" i="3"/>
  <c r="W37" i="3"/>
  <c r="X37" i="3"/>
  <c r="Y37" i="3"/>
  <c r="Z37" i="3"/>
  <c r="V38" i="3"/>
  <c r="W38" i="3"/>
  <c r="X38" i="3"/>
  <c r="Y38" i="3"/>
  <c r="Z38" i="3"/>
  <c r="V39" i="3"/>
  <c r="W39" i="3"/>
  <c r="X39" i="3"/>
  <c r="Y39" i="3"/>
  <c r="Z39" i="3"/>
  <c r="V40" i="3"/>
  <c r="W40" i="3"/>
  <c r="X40" i="3"/>
  <c r="Y40" i="3"/>
  <c r="Z40" i="3"/>
  <c r="V41" i="3"/>
  <c r="W41" i="3"/>
  <c r="X41" i="3"/>
  <c r="Y41" i="3"/>
  <c r="Z41" i="3"/>
  <c r="V42" i="3"/>
  <c r="W42" i="3"/>
  <c r="X42" i="3"/>
  <c r="Y42" i="3"/>
  <c r="Z42" i="3"/>
  <c r="V43" i="3"/>
  <c r="W43" i="3"/>
  <c r="X43" i="3"/>
  <c r="Y43" i="3"/>
  <c r="Z43" i="3"/>
  <c r="V44" i="3"/>
  <c r="W44" i="3"/>
  <c r="X44" i="3"/>
  <c r="Y44" i="3"/>
  <c r="Z44" i="3"/>
  <c r="V45" i="3"/>
  <c r="W45" i="3"/>
  <c r="X45" i="3"/>
  <c r="Y45" i="3"/>
  <c r="Z45" i="3"/>
  <c r="V46" i="3"/>
  <c r="W46" i="3"/>
  <c r="X46" i="3"/>
  <c r="Y46" i="3"/>
  <c r="Z46" i="3"/>
  <c r="V47" i="3"/>
  <c r="W47" i="3"/>
  <c r="X47" i="3"/>
  <c r="Y47" i="3"/>
  <c r="Z47" i="3"/>
  <c r="V48" i="3"/>
  <c r="W48" i="3"/>
  <c r="X48" i="3"/>
  <c r="Y48" i="3"/>
  <c r="Z48" i="3"/>
  <c r="V49" i="3"/>
  <c r="W49" i="3"/>
  <c r="X49" i="3"/>
  <c r="Y49" i="3"/>
  <c r="Z49" i="3"/>
  <c r="V50" i="3"/>
  <c r="W50" i="3"/>
  <c r="X50" i="3"/>
  <c r="Y50" i="3"/>
  <c r="Z50" i="3"/>
  <c r="V51" i="3"/>
  <c r="W51" i="3"/>
  <c r="X51" i="3"/>
  <c r="Y51" i="3"/>
  <c r="Z51" i="3"/>
  <c r="V52" i="3"/>
  <c r="W52" i="3"/>
  <c r="X52" i="3"/>
  <c r="Y52" i="3"/>
  <c r="Z52" i="3"/>
  <c r="V53" i="3"/>
  <c r="W53" i="3"/>
  <c r="X53" i="3"/>
  <c r="Y53" i="3"/>
  <c r="Z53" i="3"/>
  <c r="V54" i="3"/>
  <c r="W54" i="3"/>
  <c r="X54" i="3"/>
  <c r="Y54" i="3"/>
  <c r="Z54" i="3"/>
  <c r="V55" i="3"/>
  <c r="W55" i="3"/>
  <c r="X55" i="3"/>
  <c r="Y55" i="3"/>
  <c r="Z55" i="3"/>
  <c r="V56" i="3"/>
  <c r="W56" i="3"/>
  <c r="X56" i="3"/>
  <c r="Y56" i="3"/>
  <c r="Z56" i="3"/>
  <c r="V57" i="3"/>
  <c r="W57" i="3"/>
  <c r="X57" i="3"/>
  <c r="Y57" i="3"/>
  <c r="Z57" i="3"/>
  <c r="V58" i="3"/>
  <c r="W58" i="3"/>
  <c r="X58" i="3"/>
  <c r="Y58" i="3"/>
  <c r="Z58" i="3"/>
  <c r="V59" i="3"/>
  <c r="W59" i="3"/>
  <c r="X59" i="3"/>
  <c r="Y59" i="3"/>
  <c r="Z59" i="3"/>
  <c r="X60" i="3"/>
  <c r="Y60" i="3"/>
  <c r="Z60" i="3"/>
  <c r="X61" i="3"/>
  <c r="Y61" i="3"/>
  <c r="Z61" i="3"/>
  <c r="X62" i="3"/>
  <c r="Y62" i="3"/>
  <c r="Z62" i="3"/>
  <c r="X63" i="3"/>
  <c r="Y63" i="3"/>
  <c r="Z63" i="3"/>
  <c r="X64" i="3"/>
  <c r="Y64" i="3"/>
  <c r="Z64" i="3"/>
  <c r="X65" i="3"/>
  <c r="Y65" i="3"/>
  <c r="Z65" i="3"/>
  <c r="X66" i="3"/>
  <c r="Y66" i="3"/>
  <c r="Z66" i="3"/>
  <c r="X67" i="3"/>
  <c r="Y67" i="3"/>
  <c r="Z67" i="3"/>
  <c r="Y68" i="3"/>
  <c r="Z68" i="3"/>
  <c r="X69" i="3"/>
  <c r="Y69" i="3"/>
  <c r="Z69" i="3"/>
  <c r="Y70" i="3"/>
  <c r="Z70" i="3"/>
  <c r="Y71" i="3"/>
  <c r="Z71" i="3"/>
  <c r="Y72" i="3"/>
  <c r="Z72" i="3"/>
  <c r="X73" i="3"/>
  <c r="Y73" i="3"/>
  <c r="Z73" i="3"/>
  <c r="Y74" i="3"/>
  <c r="Z74" i="3"/>
  <c r="Y75" i="3"/>
  <c r="Z75" i="3"/>
  <c r="Y76" i="3"/>
  <c r="Z76" i="3"/>
  <c r="X77" i="3"/>
  <c r="Y77" i="3"/>
  <c r="Z77" i="3"/>
  <c r="Y78" i="3"/>
  <c r="Z78" i="3"/>
  <c r="Y79" i="3"/>
  <c r="Z79" i="3"/>
  <c r="Z80" i="3"/>
  <c r="X81" i="3"/>
  <c r="Z81" i="3"/>
  <c r="Z82" i="3"/>
  <c r="Z83" i="3"/>
  <c r="Y84" i="3"/>
  <c r="Z84" i="3"/>
  <c r="X85" i="3"/>
  <c r="Z85" i="3"/>
  <c r="Y86" i="3"/>
  <c r="Z86" i="3"/>
  <c r="Z87" i="3"/>
  <c r="Y88" i="3"/>
  <c r="Z88" i="3"/>
  <c r="X89" i="3"/>
  <c r="Z89" i="3"/>
  <c r="Z90" i="3"/>
  <c r="Y91" i="3"/>
  <c r="Z91" i="3"/>
  <c r="Z92" i="3"/>
  <c r="Z93" i="3"/>
  <c r="Z94" i="3"/>
  <c r="Y95" i="3"/>
  <c r="Z95" i="3"/>
  <c r="Z96" i="3"/>
  <c r="Z97" i="3"/>
  <c r="Z98" i="3"/>
  <c r="Z99" i="3"/>
  <c r="V100" i="3"/>
  <c r="W100" i="3"/>
  <c r="Z100" i="3"/>
  <c r="V101" i="3"/>
  <c r="W101" i="3"/>
  <c r="Z101" i="3"/>
  <c r="V102" i="3"/>
  <c r="W102" i="3"/>
  <c r="Z102" i="3"/>
  <c r="V103" i="3"/>
  <c r="W103" i="3"/>
  <c r="Y103" i="3"/>
  <c r="Z103" i="3"/>
  <c r="V104" i="3"/>
  <c r="W104" i="3"/>
  <c r="X104" i="3"/>
  <c r="Z104" i="3"/>
  <c r="V105" i="3"/>
  <c r="W105" i="3"/>
  <c r="Z105" i="3"/>
  <c r="V106" i="3"/>
  <c r="W106" i="3"/>
  <c r="Z106" i="3"/>
  <c r="V107" i="3"/>
  <c r="W107" i="3"/>
  <c r="Z107" i="3"/>
  <c r="V108" i="3"/>
  <c r="W108" i="3"/>
  <c r="Z108" i="3"/>
  <c r="V109" i="3"/>
  <c r="W109" i="3"/>
  <c r="Z109" i="3"/>
  <c r="V110" i="3"/>
  <c r="W110" i="3"/>
  <c r="Z110" i="3"/>
  <c r="V111" i="3"/>
  <c r="W111" i="3"/>
  <c r="Z111" i="3"/>
  <c r="V112" i="3"/>
  <c r="W112" i="3"/>
  <c r="Z112" i="3"/>
  <c r="P21" i="3"/>
  <c r="Q21" i="3"/>
  <c r="R21" i="3"/>
  <c r="S21" i="3"/>
  <c r="T21" i="3"/>
  <c r="P22" i="3"/>
  <c r="Q22" i="3"/>
  <c r="R22" i="3"/>
  <c r="S22" i="3"/>
  <c r="T22" i="3"/>
  <c r="P23" i="3"/>
  <c r="Q23" i="3"/>
  <c r="R23" i="3"/>
  <c r="S23" i="3"/>
  <c r="T23" i="3"/>
  <c r="P24" i="3"/>
  <c r="Q24" i="3"/>
  <c r="R24" i="3"/>
  <c r="S24" i="3"/>
  <c r="T24" i="3"/>
  <c r="P25" i="3"/>
  <c r="Q25" i="3"/>
  <c r="R25" i="3"/>
  <c r="S25" i="3"/>
  <c r="T25" i="3"/>
  <c r="P26" i="3"/>
  <c r="Q26" i="3"/>
  <c r="R26" i="3"/>
  <c r="S26" i="3"/>
  <c r="T26" i="3"/>
  <c r="P27" i="3"/>
  <c r="Q27" i="3"/>
  <c r="R27" i="3"/>
  <c r="S27" i="3"/>
  <c r="T27" i="3"/>
  <c r="P28" i="3"/>
  <c r="Q28" i="3"/>
  <c r="R28" i="3"/>
  <c r="S28" i="3"/>
  <c r="T28" i="3"/>
  <c r="P29" i="3"/>
  <c r="Q29" i="3"/>
  <c r="R29" i="3"/>
  <c r="S29" i="3"/>
  <c r="T29" i="3"/>
  <c r="P30" i="3"/>
  <c r="Q30" i="3"/>
  <c r="R30" i="3"/>
  <c r="S30" i="3"/>
  <c r="T30" i="3"/>
  <c r="P31" i="3"/>
  <c r="Q31" i="3"/>
  <c r="R31" i="3"/>
  <c r="S31" i="3"/>
  <c r="T31" i="3"/>
  <c r="P32" i="3"/>
  <c r="Q32" i="3"/>
  <c r="R32" i="3"/>
  <c r="S32" i="3"/>
  <c r="T32" i="3"/>
  <c r="P33" i="3"/>
  <c r="Q33" i="3"/>
  <c r="R33" i="3"/>
  <c r="S33" i="3"/>
  <c r="T33" i="3"/>
  <c r="P34" i="3"/>
  <c r="Q34" i="3"/>
  <c r="R34" i="3"/>
  <c r="S34" i="3"/>
  <c r="T34" i="3"/>
  <c r="P35" i="3"/>
  <c r="Q35" i="3"/>
  <c r="R35" i="3"/>
  <c r="S35" i="3"/>
  <c r="T35" i="3"/>
  <c r="P36" i="3"/>
  <c r="Q36" i="3"/>
  <c r="R36" i="3"/>
  <c r="S36" i="3"/>
  <c r="T36" i="3"/>
  <c r="P37" i="3"/>
  <c r="Q37" i="3"/>
  <c r="R37" i="3"/>
  <c r="S37" i="3"/>
  <c r="T37" i="3"/>
  <c r="P38" i="3"/>
  <c r="Q38" i="3"/>
  <c r="R38" i="3"/>
  <c r="S38" i="3"/>
  <c r="T38" i="3"/>
  <c r="P39" i="3"/>
  <c r="Q39" i="3"/>
  <c r="R39" i="3"/>
  <c r="S39" i="3"/>
  <c r="T39" i="3"/>
  <c r="P40" i="3"/>
  <c r="Q40" i="3"/>
  <c r="R40" i="3"/>
  <c r="S40" i="3"/>
  <c r="T40" i="3"/>
  <c r="P41" i="3"/>
  <c r="Q41" i="3"/>
  <c r="R41" i="3"/>
  <c r="S41" i="3"/>
  <c r="T41" i="3"/>
  <c r="P42" i="3"/>
  <c r="Q42" i="3"/>
  <c r="R42" i="3"/>
  <c r="S42" i="3"/>
  <c r="T42" i="3"/>
  <c r="P43" i="3"/>
  <c r="Q43" i="3"/>
  <c r="R43" i="3"/>
  <c r="S43" i="3"/>
  <c r="T43" i="3"/>
  <c r="P44" i="3"/>
  <c r="Q44" i="3"/>
  <c r="R44" i="3"/>
  <c r="S44" i="3"/>
  <c r="T44" i="3"/>
  <c r="P45" i="3"/>
  <c r="Q45" i="3"/>
  <c r="R45" i="3"/>
  <c r="S45" i="3"/>
  <c r="T45" i="3"/>
  <c r="P46" i="3"/>
  <c r="Q46" i="3"/>
  <c r="R46" i="3"/>
  <c r="S46" i="3"/>
  <c r="T46" i="3"/>
  <c r="P47" i="3"/>
  <c r="Q47" i="3"/>
  <c r="R47" i="3"/>
  <c r="S47" i="3"/>
  <c r="T47" i="3"/>
  <c r="P48" i="3"/>
  <c r="Q48" i="3"/>
  <c r="R48" i="3"/>
  <c r="S48" i="3"/>
  <c r="T48" i="3"/>
  <c r="P49" i="3"/>
  <c r="Q49" i="3"/>
  <c r="R49" i="3"/>
  <c r="S49" i="3"/>
  <c r="T49" i="3"/>
  <c r="P50" i="3"/>
  <c r="Q50" i="3"/>
  <c r="R50" i="3"/>
  <c r="S50" i="3"/>
  <c r="T50" i="3"/>
  <c r="P51" i="3"/>
  <c r="Q51" i="3"/>
  <c r="R51" i="3"/>
  <c r="S51" i="3"/>
  <c r="T51" i="3"/>
  <c r="P52" i="3"/>
  <c r="Q52" i="3"/>
  <c r="R52" i="3"/>
  <c r="S52" i="3"/>
  <c r="T52" i="3"/>
  <c r="P53" i="3"/>
  <c r="Q53" i="3"/>
  <c r="R53" i="3"/>
  <c r="S53" i="3"/>
  <c r="T53" i="3"/>
  <c r="P54" i="3"/>
  <c r="Q54" i="3"/>
  <c r="R54" i="3"/>
  <c r="S54" i="3"/>
  <c r="T54" i="3"/>
  <c r="P55" i="3"/>
  <c r="Q55" i="3"/>
  <c r="R55" i="3"/>
  <c r="S55" i="3"/>
  <c r="T55" i="3"/>
  <c r="P56" i="3"/>
  <c r="Q56" i="3"/>
  <c r="R56" i="3"/>
  <c r="S56" i="3"/>
  <c r="T56" i="3"/>
  <c r="P57" i="3"/>
  <c r="Q57" i="3"/>
  <c r="R57" i="3"/>
  <c r="S57" i="3"/>
  <c r="T57" i="3"/>
  <c r="P58" i="3"/>
  <c r="Q58" i="3"/>
  <c r="R58" i="3"/>
  <c r="S58" i="3"/>
  <c r="T58" i="3"/>
  <c r="P59" i="3"/>
  <c r="Q59" i="3"/>
  <c r="R59" i="3"/>
  <c r="S59" i="3"/>
  <c r="T59" i="3"/>
  <c r="R60" i="3"/>
  <c r="S60" i="3"/>
  <c r="T60" i="3"/>
  <c r="R61" i="3"/>
  <c r="S61" i="3"/>
  <c r="T61" i="3"/>
  <c r="R62" i="3"/>
  <c r="S62" i="3"/>
  <c r="T62" i="3"/>
  <c r="R63" i="3"/>
  <c r="S63" i="3"/>
  <c r="T63" i="3"/>
  <c r="R64" i="3"/>
  <c r="S64" i="3"/>
  <c r="T64" i="3"/>
  <c r="R65" i="3"/>
  <c r="S65" i="3"/>
  <c r="T65" i="3"/>
  <c r="R66" i="3"/>
  <c r="S66" i="3"/>
  <c r="T66" i="3"/>
  <c r="R67" i="3"/>
  <c r="S67" i="3"/>
  <c r="T67" i="3"/>
  <c r="S68" i="3"/>
  <c r="T68" i="3"/>
  <c r="S69" i="3"/>
  <c r="T69" i="3"/>
  <c r="S70" i="3"/>
  <c r="T70" i="3"/>
  <c r="S71" i="3"/>
  <c r="T71" i="3"/>
  <c r="S72" i="3"/>
  <c r="T72" i="3"/>
  <c r="S73" i="3"/>
  <c r="T73" i="3"/>
  <c r="S74" i="3"/>
  <c r="T74" i="3"/>
  <c r="S75" i="3"/>
  <c r="T75" i="3"/>
  <c r="S76" i="3"/>
  <c r="T76" i="3"/>
  <c r="S77" i="3"/>
  <c r="T77" i="3"/>
  <c r="S78" i="3"/>
  <c r="T78" i="3"/>
  <c r="T79" i="3"/>
  <c r="T80" i="3"/>
  <c r="T81" i="3"/>
  <c r="S82" i="3"/>
  <c r="T82" i="3"/>
  <c r="T83" i="3"/>
  <c r="T84" i="3"/>
  <c r="T85" i="3"/>
  <c r="S86" i="3"/>
  <c r="T86" i="3"/>
  <c r="T87" i="3"/>
  <c r="T88" i="3"/>
  <c r="T89" i="3"/>
  <c r="S90" i="3"/>
  <c r="T90" i="3"/>
  <c r="T91" i="3"/>
  <c r="T92" i="3"/>
  <c r="T93" i="3"/>
  <c r="T94" i="3"/>
  <c r="T95" i="3"/>
  <c r="T96" i="3"/>
  <c r="T97" i="3"/>
  <c r="S98" i="3"/>
  <c r="T98" i="3"/>
  <c r="T99" i="3"/>
  <c r="P100" i="3"/>
  <c r="Q100" i="3"/>
  <c r="T100" i="3"/>
  <c r="P101" i="3"/>
  <c r="Q101" i="3"/>
  <c r="T101" i="3"/>
  <c r="P102" i="3"/>
  <c r="Q102" i="3"/>
  <c r="S102" i="3"/>
  <c r="T102" i="3"/>
  <c r="P103" i="3"/>
  <c r="Q103" i="3"/>
  <c r="T103" i="3"/>
  <c r="P104" i="3"/>
  <c r="Q104" i="3"/>
  <c r="T104" i="3"/>
  <c r="P105" i="3"/>
  <c r="Q105" i="3"/>
  <c r="S105" i="3"/>
  <c r="T105" i="3"/>
  <c r="P106" i="3"/>
  <c r="Q106" i="3"/>
  <c r="S106" i="3"/>
  <c r="T106" i="3"/>
  <c r="P107" i="3"/>
  <c r="Q107" i="3"/>
  <c r="T107" i="3"/>
  <c r="P108" i="3"/>
  <c r="Q108" i="3"/>
  <c r="T108" i="3"/>
  <c r="P109" i="3"/>
  <c r="Q109" i="3"/>
  <c r="T109" i="3"/>
  <c r="P110" i="3"/>
  <c r="Q110" i="3"/>
  <c r="T110" i="3"/>
  <c r="P111" i="3"/>
  <c r="Q111" i="3"/>
  <c r="T111" i="3"/>
  <c r="P112" i="3"/>
  <c r="Q112" i="3"/>
  <c r="T112" i="3"/>
  <c r="AF20" i="3"/>
  <c r="AD20" i="3"/>
  <c r="AB20" i="3"/>
  <c r="Z20" i="3"/>
  <c r="X20" i="3"/>
  <c r="W20" i="3"/>
  <c r="V20" i="3"/>
  <c r="T20" i="3"/>
  <c r="R20" i="3"/>
  <c r="Q20" i="3"/>
  <c r="P20" i="3"/>
  <c r="J21" i="3"/>
  <c r="K21" i="3"/>
  <c r="AC21" i="3" s="1"/>
  <c r="L21" i="3"/>
  <c r="M21" i="3"/>
  <c r="N21" i="3"/>
  <c r="J22" i="3"/>
  <c r="K22" i="3"/>
  <c r="AC22" i="3" s="1"/>
  <c r="L22" i="3"/>
  <c r="M22" i="3"/>
  <c r="N22" i="3"/>
  <c r="J23" i="3"/>
  <c r="K23" i="3"/>
  <c r="AC23" i="3" s="1"/>
  <c r="L23" i="3"/>
  <c r="M23" i="3"/>
  <c r="N23" i="3"/>
  <c r="J24" i="3"/>
  <c r="K24" i="3"/>
  <c r="AC24" i="3" s="1"/>
  <c r="L24" i="3"/>
  <c r="M24" i="3"/>
  <c r="N24" i="3"/>
  <c r="J25" i="3"/>
  <c r="K25" i="3"/>
  <c r="AC25" i="3" s="1"/>
  <c r="L25" i="3"/>
  <c r="M25" i="3"/>
  <c r="N25" i="3"/>
  <c r="J26" i="3"/>
  <c r="K26" i="3"/>
  <c r="AC26" i="3" s="1"/>
  <c r="L26" i="3"/>
  <c r="M26" i="3"/>
  <c r="N26" i="3"/>
  <c r="J27" i="3"/>
  <c r="K27" i="3"/>
  <c r="AC27" i="3" s="1"/>
  <c r="L27" i="3"/>
  <c r="M27" i="3"/>
  <c r="N27" i="3"/>
  <c r="J28" i="3"/>
  <c r="K28" i="3"/>
  <c r="AC28" i="3" s="1"/>
  <c r="L28" i="3"/>
  <c r="M28" i="3"/>
  <c r="N28" i="3"/>
  <c r="J29" i="3"/>
  <c r="K29" i="3"/>
  <c r="AC29" i="3" s="1"/>
  <c r="L29" i="3"/>
  <c r="M29" i="3"/>
  <c r="N29" i="3"/>
  <c r="J30" i="3"/>
  <c r="K30" i="3"/>
  <c r="AC30" i="3" s="1"/>
  <c r="L30" i="3"/>
  <c r="M30" i="3"/>
  <c r="N30" i="3"/>
  <c r="J31" i="3"/>
  <c r="K31" i="3"/>
  <c r="AC31" i="3" s="1"/>
  <c r="L31" i="3"/>
  <c r="M31" i="3"/>
  <c r="N31" i="3"/>
  <c r="J32" i="3"/>
  <c r="K32" i="3"/>
  <c r="AC32" i="3" s="1"/>
  <c r="L32" i="3"/>
  <c r="M32" i="3"/>
  <c r="N32" i="3"/>
  <c r="J33" i="3"/>
  <c r="K33" i="3"/>
  <c r="AC33" i="3" s="1"/>
  <c r="L33" i="3"/>
  <c r="M33" i="3"/>
  <c r="N33" i="3"/>
  <c r="J34" i="3"/>
  <c r="K34" i="3"/>
  <c r="AC34" i="3" s="1"/>
  <c r="L34" i="3"/>
  <c r="M34" i="3"/>
  <c r="N34" i="3"/>
  <c r="J35" i="3"/>
  <c r="K35" i="3"/>
  <c r="AC35" i="3" s="1"/>
  <c r="L35" i="3"/>
  <c r="M35" i="3"/>
  <c r="N35" i="3"/>
  <c r="J36" i="3"/>
  <c r="K36" i="3"/>
  <c r="AC36" i="3" s="1"/>
  <c r="L36" i="3"/>
  <c r="M36" i="3"/>
  <c r="N36" i="3"/>
  <c r="J37" i="3"/>
  <c r="K37" i="3"/>
  <c r="AC37" i="3" s="1"/>
  <c r="L37" i="3"/>
  <c r="M37" i="3"/>
  <c r="N37" i="3"/>
  <c r="J38" i="3"/>
  <c r="K38" i="3"/>
  <c r="AC38" i="3" s="1"/>
  <c r="L38" i="3"/>
  <c r="M38" i="3"/>
  <c r="N38" i="3"/>
  <c r="J39" i="3"/>
  <c r="K39" i="3"/>
  <c r="AC39" i="3" s="1"/>
  <c r="L39" i="3"/>
  <c r="M39" i="3"/>
  <c r="N39" i="3"/>
  <c r="J40" i="3"/>
  <c r="K40" i="3"/>
  <c r="AC40" i="3" s="1"/>
  <c r="L40" i="3"/>
  <c r="M40" i="3"/>
  <c r="N40" i="3"/>
  <c r="J41" i="3"/>
  <c r="K41" i="3"/>
  <c r="AC41" i="3" s="1"/>
  <c r="L41" i="3"/>
  <c r="M41" i="3"/>
  <c r="N41" i="3"/>
  <c r="J42" i="3"/>
  <c r="K42" i="3"/>
  <c r="AC42" i="3" s="1"/>
  <c r="L42" i="3"/>
  <c r="M42" i="3"/>
  <c r="N42" i="3"/>
  <c r="J43" i="3"/>
  <c r="K43" i="3"/>
  <c r="AC43" i="3" s="1"/>
  <c r="L43" i="3"/>
  <c r="M43" i="3"/>
  <c r="N43" i="3"/>
  <c r="J44" i="3"/>
  <c r="K44" i="3"/>
  <c r="AC44" i="3" s="1"/>
  <c r="L44" i="3"/>
  <c r="M44" i="3"/>
  <c r="N44" i="3"/>
  <c r="J45" i="3"/>
  <c r="K45" i="3"/>
  <c r="AC45" i="3" s="1"/>
  <c r="L45" i="3"/>
  <c r="M45" i="3"/>
  <c r="N45" i="3"/>
  <c r="J46" i="3"/>
  <c r="K46" i="3"/>
  <c r="AC46" i="3" s="1"/>
  <c r="L46" i="3"/>
  <c r="M46" i="3"/>
  <c r="N46" i="3"/>
  <c r="J47" i="3"/>
  <c r="K47" i="3"/>
  <c r="AC47" i="3" s="1"/>
  <c r="L47" i="3"/>
  <c r="M47" i="3"/>
  <c r="N47" i="3"/>
  <c r="J48" i="3"/>
  <c r="K48" i="3"/>
  <c r="AC48" i="3" s="1"/>
  <c r="L48" i="3"/>
  <c r="M48" i="3"/>
  <c r="N48" i="3"/>
  <c r="J49" i="3"/>
  <c r="K49" i="3"/>
  <c r="AC49" i="3" s="1"/>
  <c r="L49" i="3"/>
  <c r="M49" i="3"/>
  <c r="N49" i="3"/>
  <c r="J50" i="3"/>
  <c r="K50" i="3"/>
  <c r="AC50" i="3" s="1"/>
  <c r="L50" i="3"/>
  <c r="M50" i="3"/>
  <c r="N50" i="3"/>
  <c r="J51" i="3"/>
  <c r="K51" i="3"/>
  <c r="AC51" i="3" s="1"/>
  <c r="L51" i="3"/>
  <c r="M51" i="3"/>
  <c r="N51" i="3"/>
  <c r="J52" i="3"/>
  <c r="K52" i="3"/>
  <c r="AC52" i="3" s="1"/>
  <c r="L52" i="3"/>
  <c r="M52" i="3"/>
  <c r="N52" i="3"/>
  <c r="J53" i="3"/>
  <c r="K53" i="3"/>
  <c r="AC53" i="3" s="1"/>
  <c r="L53" i="3"/>
  <c r="M53" i="3"/>
  <c r="N53" i="3"/>
  <c r="J54" i="3"/>
  <c r="K54" i="3"/>
  <c r="AC54" i="3" s="1"/>
  <c r="L54" i="3"/>
  <c r="M54" i="3"/>
  <c r="N54" i="3"/>
  <c r="J55" i="3"/>
  <c r="K55" i="3"/>
  <c r="AC55" i="3" s="1"/>
  <c r="L55" i="3"/>
  <c r="M55" i="3"/>
  <c r="N55" i="3"/>
  <c r="J56" i="3"/>
  <c r="K56" i="3"/>
  <c r="AC56" i="3" s="1"/>
  <c r="L56" i="3"/>
  <c r="M56" i="3"/>
  <c r="N56" i="3"/>
  <c r="J57" i="3"/>
  <c r="K57" i="3"/>
  <c r="AC57" i="3" s="1"/>
  <c r="L57" i="3"/>
  <c r="M57" i="3"/>
  <c r="N57" i="3"/>
  <c r="J58" i="3"/>
  <c r="K58" i="3"/>
  <c r="AC58" i="3" s="1"/>
  <c r="L58" i="3"/>
  <c r="M58" i="3"/>
  <c r="N58" i="3"/>
  <c r="J59" i="3"/>
  <c r="K59" i="3"/>
  <c r="AC59" i="3" s="1"/>
  <c r="L59" i="3"/>
  <c r="M59" i="3"/>
  <c r="N59" i="3"/>
  <c r="J60" i="3"/>
  <c r="K60" i="3"/>
  <c r="L60" i="3"/>
  <c r="M60" i="3"/>
  <c r="N60" i="3"/>
  <c r="J61" i="3"/>
  <c r="K61" i="3"/>
  <c r="L61" i="3"/>
  <c r="M61" i="3"/>
  <c r="N61" i="3"/>
  <c r="J62" i="3"/>
  <c r="K62" i="3"/>
  <c r="L62" i="3"/>
  <c r="M62" i="3"/>
  <c r="N62" i="3"/>
  <c r="J63" i="3"/>
  <c r="K63" i="3"/>
  <c r="L63" i="3"/>
  <c r="M63" i="3"/>
  <c r="N63" i="3"/>
  <c r="J64" i="3"/>
  <c r="K64" i="3"/>
  <c r="L64" i="3"/>
  <c r="M64" i="3"/>
  <c r="N64" i="3"/>
  <c r="J65" i="3"/>
  <c r="K65" i="3"/>
  <c r="L65" i="3"/>
  <c r="M65" i="3"/>
  <c r="N65" i="3"/>
  <c r="J66" i="3"/>
  <c r="K66" i="3"/>
  <c r="L66" i="3"/>
  <c r="M66" i="3"/>
  <c r="N66" i="3"/>
  <c r="J67" i="3"/>
  <c r="K67" i="3"/>
  <c r="L67" i="3"/>
  <c r="M67" i="3"/>
  <c r="N67" i="3"/>
  <c r="J68" i="3"/>
  <c r="K68" i="3"/>
  <c r="L68" i="3"/>
  <c r="M68" i="3"/>
  <c r="N68" i="3"/>
  <c r="J69" i="3"/>
  <c r="K69" i="3"/>
  <c r="L69" i="3"/>
  <c r="M69" i="3"/>
  <c r="N69" i="3"/>
  <c r="J70" i="3"/>
  <c r="K70" i="3"/>
  <c r="L70" i="3"/>
  <c r="M70" i="3"/>
  <c r="N70" i="3"/>
  <c r="J71" i="3"/>
  <c r="K71" i="3"/>
  <c r="L71" i="3"/>
  <c r="M71" i="3"/>
  <c r="N71" i="3"/>
  <c r="J72" i="3"/>
  <c r="K72" i="3"/>
  <c r="L72" i="3"/>
  <c r="M72" i="3"/>
  <c r="N72" i="3"/>
  <c r="J73" i="3"/>
  <c r="K73" i="3"/>
  <c r="L73" i="3"/>
  <c r="M73" i="3"/>
  <c r="N73" i="3"/>
  <c r="J74" i="3"/>
  <c r="K74" i="3"/>
  <c r="L74" i="3"/>
  <c r="M74" i="3"/>
  <c r="N74" i="3"/>
  <c r="J75" i="3"/>
  <c r="K75" i="3"/>
  <c r="L75" i="3"/>
  <c r="M75" i="3"/>
  <c r="N75" i="3"/>
  <c r="J76" i="3"/>
  <c r="K76" i="3"/>
  <c r="L76" i="3"/>
  <c r="M76" i="3"/>
  <c r="N76" i="3"/>
  <c r="J77" i="3"/>
  <c r="K77" i="3"/>
  <c r="L77" i="3"/>
  <c r="M77" i="3"/>
  <c r="N77" i="3"/>
  <c r="J78" i="3"/>
  <c r="K78" i="3"/>
  <c r="L78" i="3"/>
  <c r="M78" i="3"/>
  <c r="N78" i="3"/>
  <c r="J79" i="3"/>
  <c r="K79" i="3"/>
  <c r="L79" i="3"/>
  <c r="M79" i="3"/>
  <c r="N79" i="3"/>
  <c r="J80" i="3"/>
  <c r="K80" i="3"/>
  <c r="L80" i="3"/>
  <c r="M80" i="3"/>
  <c r="N80" i="3"/>
  <c r="J81" i="3"/>
  <c r="K81" i="3"/>
  <c r="L81" i="3"/>
  <c r="M81" i="3"/>
  <c r="N81" i="3"/>
  <c r="J82" i="3"/>
  <c r="K82" i="3"/>
  <c r="L82" i="3"/>
  <c r="M82" i="3"/>
  <c r="N82" i="3"/>
  <c r="J83" i="3"/>
  <c r="K83" i="3"/>
  <c r="L83" i="3"/>
  <c r="M83" i="3"/>
  <c r="N83" i="3"/>
  <c r="J84" i="3"/>
  <c r="K84" i="3"/>
  <c r="L84" i="3"/>
  <c r="M84" i="3"/>
  <c r="N84" i="3"/>
  <c r="J85" i="3"/>
  <c r="K85" i="3"/>
  <c r="L85" i="3"/>
  <c r="M85" i="3"/>
  <c r="N85" i="3"/>
  <c r="J86" i="3"/>
  <c r="K86" i="3"/>
  <c r="L86" i="3"/>
  <c r="M86" i="3"/>
  <c r="N86" i="3"/>
  <c r="J87" i="3"/>
  <c r="K87" i="3"/>
  <c r="L87" i="3"/>
  <c r="M87" i="3"/>
  <c r="N87" i="3"/>
  <c r="J88" i="3"/>
  <c r="K88" i="3"/>
  <c r="L88" i="3"/>
  <c r="M88" i="3"/>
  <c r="N88" i="3"/>
  <c r="J89" i="3"/>
  <c r="K89" i="3"/>
  <c r="L89" i="3"/>
  <c r="M89" i="3"/>
  <c r="N89" i="3"/>
  <c r="J90" i="3"/>
  <c r="K90" i="3"/>
  <c r="L90" i="3"/>
  <c r="M90" i="3"/>
  <c r="N90" i="3"/>
  <c r="J91" i="3"/>
  <c r="K91" i="3"/>
  <c r="L91" i="3"/>
  <c r="M91" i="3"/>
  <c r="N91" i="3"/>
  <c r="J92" i="3"/>
  <c r="K92" i="3"/>
  <c r="L92" i="3"/>
  <c r="M92" i="3"/>
  <c r="N92" i="3"/>
  <c r="J93" i="3"/>
  <c r="K93" i="3"/>
  <c r="L93" i="3"/>
  <c r="M93" i="3"/>
  <c r="N93" i="3"/>
  <c r="J94" i="3"/>
  <c r="K94" i="3"/>
  <c r="L94" i="3"/>
  <c r="M94" i="3"/>
  <c r="N94" i="3"/>
  <c r="J95" i="3"/>
  <c r="K95" i="3"/>
  <c r="L95" i="3"/>
  <c r="M95" i="3"/>
  <c r="N95" i="3"/>
  <c r="J96" i="3"/>
  <c r="K96" i="3"/>
  <c r="L96" i="3"/>
  <c r="M96" i="3"/>
  <c r="N96" i="3"/>
  <c r="J97" i="3"/>
  <c r="K97" i="3"/>
  <c r="L97" i="3"/>
  <c r="M97" i="3"/>
  <c r="N97" i="3"/>
  <c r="J98" i="3"/>
  <c r="K98" i="3"/>
  <c r="L98" i="3"/>
  <c r="M98" i="3"/>
  <c r="N98" i="3"/>
  <c r="J99" i="3"/>
  <c r="K99" i="3"/>
  <c r="L99" i="3"/>
  <c r="M99" i="3"/>
  <c r="N99" i="3"/>
  <c r="J100" i="3"/>
  <c r="K100" i="3"/>
  <c r="L100" i="3"/>
  <c r="M100" i="3"/>
  <c r="N100" i="3"/>
  <c r="J101" i="3"/>
  <c r="K101" i="3"/>
  <c r="L101" i="3"/>
  <c r="M101" i="3"/>
  <c r="N101" i="3"/>
  <c r="J102" i="3"/>
  <c r="K102" i="3"/>
  <c r="L102" i="3"/>
  <c r="M102" i="3"/>
  <c r="N102" i="3"/>
  <c r="J103" i="3"/>
  <c r="K103" i="3"/>
  <c r="L103" i="3"/>
  <c r="M103" i="3"/>
  <c r="N103" i="3"/>
  <c r="J104" i="3"/>
  <c r="K104" i="3"/>
  <c r="L104" i="3"/>
  <c r="M104" i="3"/>
  <c r="N104" i="3"/>
  <c r="J105" i="3"/>
  <c r="K105" i="3"/>
  <c r="L105" i="3"/>
  <c r="M105" i="3"/>
  <c r="N105" i="3"/>
  <c r="J106" i="3"/>
  <c r="K106" i="3"/>
  <c r="L106" i="3"/>
  <c r="M106" i="3"/>
  <c r="N106" i="3"/>
  <c r="J107" i="3"/>
  <c r="K107" i="3"/>
  <c r="L107" i="3"/>
  <c r="M107" i="3"/>
  <c r="N107" i="3"/>
  <c r="J108" i="3"/>
  <c r="K108" i="3"/>
  <c r="L108" i="3"/>
  <c r="M108" i="3"/>
  <c r="N108" i="3"/>
  <c r="J109" i="3"/>
  <c r="K109" i="3"/>
  <c r="L109" i="3"/>
  <c r="M109" i="3"/>
  <c r="N109" i="3"/>
  <c r="J110" i="3"/>
  <c r="K110" i="3"/>
  <c r="L110" i="3"/>
  <c r="M110" i="3"/>
  <c r="N110" i="3"/>
  <c r="J111" i="3"/>
  <c r="K111" i="3"/>
  <c r="L111" i="3"/>
  <c r="M111" i="3"/>
  <c r="N111" i="3"/>
  <c r="J112" i="3"/>
  <c r="K112" i="3"/>
  <c r="L112" i="3"/>
  <c r="M112" i="3"/>
  <c r="N112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F41" i="3"/>
  <c r="G41" i="3"/>
  <c r="H41" i="3"/>
  <c r="F42" i="3"/>
  <c r="G42" i="3"/>
  <c r="H42" i="3"/>
  <c r="F43" i="3"/>
  <c r="G43" i="3"/>
  <c r="H43" i="3"/>
  <c r="F44" i="3"/>
  <c r="G44" i="3"/>
  <c r="H44" i="3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2" i="3"/>
  <c r="G62" i="3"/>
  <c r="H62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4" i="3"/>
  <c r="G74" i="3"/>
  <c r="H74" i="3"/>
  <c r="F75" i="3"/>
  <c r="G75" i="3"/>
  <c r="H75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81" i="3"/>
  <c r="G81" i="3"/>
  <c r="H81" i="3"/>
  <c r="F82" i="3"/>
  <c r="G82" i="3"/>
  <c r="H82" i="3"/>
  <c r="F83" i="3"/>
  <c r="G83" i="3"/>
  <c r="H83" i="3"/>
  <c r="F84" i="3"/>
  <c r="G84" i="3"/>
  <c r="H84" i="3"/>
  <c r="F85" i="3"/>
  <c r="G85" i="3"/>
  <c r="H85" i="3"/>
  <c r="F86" i="3"/>
  <c r="G86" i="3"/>
  <c r="H86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3" i="3"/>
  <c r="G93" i="3"/>
  <c r="H93" i="3"/>
  <c r="F94" i="3"/>
  <c r="G94" i="3"/>
  <c r="H94" i="3"/>
  <c r="F95" i="3"/>
  <c r="G95" i="3"/>
  <c r="H95" i="3"/>
  <c r="F96" i="3"/>
  <c r="G96" i="3"/>
  <c r="H96" i="3"/>
  <c r="F97" i="3"/>
  <c r="G97" i="3"/>
  <c r="H97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4" i="3"/>
  <c r="G104" i="3"/>
  <c r="H104" i="3"/>
  <c r="F105" i="3"/>
  <c r="G105" i="3"/>
  <c r="H105" i="3"/>
  <c r="F106" i="3"/>
  <c r="G106" i="3"/>
  <c r="H106" i="3"/>
  <c r="F107" i="3"/>
  <c r="G107" i="3"/>
  <c r="H107" i="3"/>
  <c r="F108" i="3"/>
  <c r="G108" i="3"/>
  <c r="H108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N20" i="3"/>
  <c r="L20" i="3"/>
  <c r="H20" i="3"/>
  <c r="F20" i="3"/>
  <c r="S79" i="3"/>
  <c r="AE79" i="3"/>
  <c r="S80" i="3"/>
  <c r="Y80" i="3"/>
  <c r="AE80" i="3"/>
  <c r="S81" i="3"/>
  <c r="Y81" i="3"/>
  <c r="AE81" i="3"/>
  <c r="Y82" i="3"/>
  <c r="AE82" i="3"/>
  <c r="S83" i="3"/>
  <c r="Y83" i="3"/>
  <c r="AE83" i="3"/>
  <c r="S84" i="3"/>
  <c r="AE84" i="3"/>
  <c r="S85" i="3"/>
  <c r="Y85" i="3"/>
  <c r="AE85" i="3"/>
  <c r="AE86" i="3"/>
  <c r="S87" i="3"/>
  <c r="Y87" i="3"/>
  <c r="AE87" i="3"/>
  <c r="S88" i="3"/>
  <c r="AE88" i="3"/>
  <c r="S89" i="3"/>
  <c r="Y89" i="3"/>
  <c r="AE89" i="3"/>
  <c r="Y90" i="3"/>
  <c r="AE90" i="3"/>
  <c r="S91" i="3"/>
  <c r="AE91" i="3"/>
  <c r="S92" i="3"/>
  <c r="Y92" i="3"/>
  <c r="AE92" i="3"/>
  <c r="S93" i="3"/>
  <c r="Y93" i="3"/>
  <c r="AE93" i="3"/>
  <c r="S94" i="3"/>
  <c r="Y94" i="3"/>
  <c r="AE94" i="3"/>
  <c r="S95" i="3"/>
  <c r="AE95" i="3"/>
  <c r="S96" i="3"/>
  <c r="Y96" i="3"/>
  <c r="AE96" i="3"/>
  <c r="S97" i="3"/>
  <c r="Y97" i="3"/>
  <c r="AE97" i="3"/>
  <c r="Y98" i="3"/>
  <c r="AE98" i="3"/>
  <c r="S99" i="3"/>
  <c r="Y99" i="3"/>
  <c r="AE99" i="3"/>
  <c r="S100" i="3"/>
  <c r="Y100" i="3"/>
  <c r="AE100" i="3"/>
  <c r="S101" i="3"/>
  <c r="Y101" i="3"/>
  <c r="AE101" i="3"/>
  <c r="Y102" i="3"/>
  <c r="AE102" i="3"/>
  <c r="S103" i="3"/>
  <c r="AE103" i="3"/>
  <c r="S104" i="3"/>
  <c r="Y104" i="3"/>
  <c r="AE104" i="3"/>
  <c r="Y105" i="3"/>
  <c r="AE105" i="3"/>
  <c r="Y106" i="3"/>
  <c r="AE106" i="3"/>
  <c r="S107" i="3"/>
  <c r="Y107" i="3"/>
  <c r="AE107" i="3"/>
  <c r="S108" i="3"/>
  <c r="Y108" i="3"/>
  <c r="AE108" i="3"/>
  <c r="S109" i="3"/>
  <c r="Y109" i="3"/>
  <c r="AE109" i="3"/>
  <c r="S110" i="3"/>
  <c r="Y110" i="3"/>
  <c r="AE110" i="3"/>
  <c r="S111" i="3"/>
  <c r="Y111" i="3"/>
  <c r="AE111" i="3"/>
  <c r="S112" i="3"/>
  <c r="Y112" i="3"/>
  <c r="AE112" i="3"/>
  <c r="M52" i="2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L51" i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R112" i="3"/>
  <c r="X112" i="3"/>
  <c r="AD112" i="3"/>
  <c r="R108" i="3"/>
  <c r="X108" i="3"/>
  <c r="AD108" i="3"/>
  <c r="R109" i="3"/>
  <c r="X109" i="3"/>
  <c r="R110" i="3"/>
  <c r="X110" i="3"/>
  <c r="AD110" i="3"/>
  <c r="R111" i="3"/>
  <c r="X111" i="3"/>
  <c r="AD111" i="3"/>
  <c r="R68" i="3"/>
  <c r="X68" i="3"/>
  <c r="AD68" i="3"/>
  <c r="R69" i="3"/>
  <c r="AD69" i="3"/>
  <c r="R70" i="3"/>
  <c r="X70" i="3"/>
  <c r="AD70" i="3"/>
  <c r="R71" i="3"/>
  <c r="X71" i="3"/>
  <c r="AD71" i="3"/>
  <c r="R72" i="3"/>
  <c r="X72" i="3"/>
  <c r="AD72" i="3"/>
  <c r="R73" i="3"/>
  <c r="AD73" i="3"/>
  <c r="R74" i="3"/>
  <c r="X74" i="3"/>
  <c r="AD74" i="3"/>
  <c r="R75" i="3"/>
  <c r="X75" i="3"/>
  <c r="AD75" i="3"/>
  <c r="R76" i="3"/>
  <c r="X76" i="3"/>
  <c r="AD76" i="3"/>
  <c r="R77" i="3"/>
  <c r="AD77" i="3"/>
  <c r="R78" i="3"/>
  <c r="X78" i="3"/>
  <c r="AD78" i="3"/>
  <c r="R79" i="3"/>
  <c r="X79" i="3"/>
  <c r="AD79" i="3"/>
  <c r="R80" i="3"/>
  <c r="X80" i="3"/>
  <c r="AD80" i="3"/>
  <c r="R81" i="3"/>
  <c r="AD81" i="3"/>
  <c r="R82" i="3"/>
  <c r="X82" i="3"/>
  <c r="AD82" i="3"/>
  <c r="R83" i="3"/>
  <c r="X83" i="3"/>
  <c r="AD83" i="3"/>
  <c r="R84" i="3"/>
  <c r="X84" i="3"/>
  <c r="AD84" i="3"/>
  <c r="R85" i="3"/>
  <c r="AD85" i="3"/>
  <c r="R86" i="3"/>
  <c r="X86" i="3"/>
  <c r="AD86" i="3"/>
  <c r="R87" i="3"/>
  <c r="X87" i="3"/>
  <c r="AD87" i="3"/>
  <c r="R88" i="3"/>
  <c r="X88" i="3"/>
  <c r="AD88" i="3"/>
  <c r="R89" i="3"/>
  <c r="AD89" i="3"/>
  <c r="R90" i="3"/>
  <c r="X90" i="3"/>
  <c r="AD90" i="3"/>
  <c r="R91" i="3"/>
  <c r="X91" i="3"/>
  <c r="AD91" i="3"/>
  <c r="R92" i="3"/>
  <c r="X92" i="3"/>
  <c r="AD92" i="3"/>
  <c r="R93" i="3"/>
  <c r="X93" i="3"/>
  <c r="AD93" i="3"/>
  <c r="R94" i="3"/>
  <c r="X94" i="3"/>
  <c r="AD94" i="3"/>
  <c r="R95" i="3"/>
  <c r="X95" i="3"/>
  <c r="AD95" i="3"/>
  <c r="R96" i="3"/>
  <c r="X96" i="3"/>
  <c r="AD96" i="3"/>
  <c r="R97" i="3"/>
  <c r="X97" i="3"/>
  <c r="AD97" i="3"/>
  <c r="R98" i="3"/>
  <c r="X98" i="3"/>
  <c r="AD98" i="3"/>
  <c r="R99" i="3"/>
  <c r="X99" i="3"/>
  <c r="AD99" i="3"/>
  <c r="R100" i="3"/>
  <c r="X100" i="3"/>
  <c r="AD100" i="3"/>
  <c r="R101" i="3"/>
  <c r="X101" i="3"/>
  <c r="AD101" i="3"/>
  <c r="R102" i="3"/>
  <c r="X102" i="3"/>
  <c r="AD102" i="3"/>
  <c r="R103" i="3"/>
  <c r="X103" i="3"/>
  <c r="AD103" i="3"/>
  <c r="R104" i="3"/>
  <c r="AD104" i="3"/>
  <c r="R105" i="3"/>
  <c r="X105" i="3"/>
  <c r="R106" i="3"/>
  <c r="X106" i="3"/>
  <c r="AD106" i="3"/>
  <c r="R107" i="3"/>
  <c r="X107" i="3"/>
  <c r="AD107" i="3"/>
  <c r="S48" i="2"/>
  <c r="S49" i="2"/>
  <c r="S50" i="2" s="1"/>
  <c r="S51" i="2" s="1"/>
  <c r="Q48" i="1"/>
  <c r="Q49" i="1" s="1"/>
  <c r="Q50" i="1" s="1"/>
  <c r="Q51" i="1" s="1"/>
  <c r="Q52" i="1" s="1"/>
  <c r="Q53" i="1" s="1"/>
  <c r="Q47" i="1"/>
  <c r="E2" i="6"/>
  <c r="F2" i="6" s="1"/>
  <c r="F8" i="7" s="1"/>
  <c r="K4" i="7"/>
  <c r="C14" i="6"/>
  <c r="F10" i="6"/>
  <c r="D10" i="6"/>
  <c r="C10" i="6"/>
  <c r="L3" i="7"/>
  <c r="D14" i="7"/>
  <c r="H13" i="7"/>
  <c r="C13" i="7"/>
  <c r="C14" i="7" l="1"/>
  <c r="C15" i="7"/>
  <c r="B11" i="6" s="1"/>
  <c r="H30" i="8"/>
  <c r="F30" i="8"/>
  <c r="B10" i="6"/>
  <c r="F13" i="7"/>
  <c r="G13" i="7"/>
  <c r="G14" i="7"/>
  <c r="I8" i="6"/>
  <c r="I6" i="6"/>
  <c r="H6" i="6"/>
  <c r="H7" i="6" s="1"/>
  <c r="H8" i="6" s="1"/>
  <c r="F6" i="6"/>
  <c r="F8" i="6" s="1"/>
  <c r="A6" i="6"/>
  <c r="C8" i="6"/>
  <c r="C6" i="6"/>
  <c r="G30" i="8" l="1"/>
  <c r="E30" i="8" s="1"/>
  <c r="G10" i="6"/>
  <c r="D15" i="6"/>
  <c r="D13" i="6" s="1"/>
  <c r="C13" i="6" s="1"/>
  <c r="E10" i="6"/>
  <c r="I13" i="7"/>
  <c r="J13" i="7" s="1"/>
  <c r="E15" i="6"/>
  <c r="L5" i="7" s="1"/>
  <c r="P61" i="3"/>
  <c r="V61" i="3"/>
  <c r="AB61" i="3"/>
  <c r="P62" i="3"/>
  <c r="V62" i="3"/>
  <c r="AB62" i="3"/>
  <c r="P63" i="3"/>
  <c r="V63" i="3"/>
  <c r="AB63" i="3"/>
  <c r="P64" i="3"/>
  <c r="V64" i="3"/>
  <c r="AB64" i="3"/>
  <c r="P65" i="3"/>
  <c r="V65" i="3"/>
  <c r="AB65" i="3"/>
  <c r="P66" i="3"/>
  <c r="V66" i="3"/>
  <c r="AB66" i="3"/>
  <c r="P67" i="3"/>
  <c r="V67" i="3"/>
  <c r="AB67" i="3"/>
  <c r="P68" i="3"/>
  <c r="V68" i="3"/>
  <c r="AB68" i="3"/>
  <c r="P69" i="3"/>
  <c r="V69" i="3"/>
  <c r="AB69" i="3"/>
  <c r="P70" i="3"/>
  <c r="V70" i="3"/>
  <c r="AB70" i="3"/>
  <c r="P71" i="3"/>
  <c r="V71" i="3"/>
  <c r="AB71" i="3"/>
  <c r="P72" i="3"/>
  <c r="V72" i="3"/>
  <c r="AB72" i="3"/>
  <c r="P73" i="3"/>
  <c r="V73" i="3"/>
  <c r="AB73" i="3"/>
  <c r="P74" i="3"/>
  <c r="V74" i="3"/>
  <c r="AB74" i="3"/>
  <c r="P75" i="3"/>
  <c r="V75" i="3"/>
  <c r="AB75" i="3"/>
  <c r="P76" i="3"/>
  <c r="V76" i="3"/>
  <c r="AB76" i="3"/>
  <c r="P77" i="3"/>
  <c r="V77" i="3"/>
  <c r="AB77" i="3"/>
  <c r="P78" i="3"/>
  <c r="V78" i="3"/>
  <c r="AB78" i="3"/>
  <c r="P79" i="3"/>
  <c r="V79" i="3"/>
  <c r="AB79" i="3"/>
  <c r="P80" i="3"/>
  <c r="V80" i="3"/>
  <c r="AB80" i="3"/>
  <c r="P81" i="3"/>
  <c r="V81" i="3"/>
  <c r="AB81" i="3"/>
  <c r="P82" i="3"/>
  <c r="V82" i="3"/>
  <c r="AB82" i="3"/>
  <c r="P83" i="3"/>
  <c r="V83" i="3"/>
  <c r="AB83" i="3"/>
  <c r="P84" i="3"/>
  <c r="V84" i="3"/>
  <c r="AB84" i="3"/>
  <c r="P85" i="3"/>
  <c r="V85" i="3"/>
  <c r="AB85" i="3"/>
  <c r="P86" i="3"/>
  <c r="V86" i="3"/>
  <c r="AB86" i="3"/>
  <c r="P87" i="3"/>
  <c r="V87" i="3"/>
  <c r="AB87" i="3"/>
  <c r="P88" i="3"/>
  <c r="V88" i="3"/>
  <c r="AB88" i="3"/>
  <c r="P89" i="3"/>
  <c r="V89" i="3"/>
  <c r="AB89" i="3"/>
  <c r="P90" i="3"/>
  <c r="V90" i="3"/>
  <c r="AB90" i="3"/>
  <c r="P91" i="3"/>
  <c r="V91" i="3"/>
  <c r="AB91" i="3"/>
  <c r="P92" i="3"/>
  <c r="V92" i="3"/>
  <c r="AB92" i="3"/>
  <c r="P93" i="3"/>
  <c r="V93" i="3"/>
  <c r="AB93" i="3"/>
  <c r="P94" i="3"/>
  <c r="V94" i="3"/>
  <c r="AB94" i="3"/>
  <c r="P95" i="3"/>
  <c r="V95" i="3"/>
  <c r="AB95" i="3"/>
  <c r="P96" i="3"/>
  <c r="V96" i="3"/>
  <c r="AB96" i="3"/>
  <c r="P97" i="3"/>
  <c r="V97" i="3"/>
  <c r="AB97" i="3"/>
  <c r="P98" i="3"/>
  <c r="V98" i="3"/>
  <c r="AB98" i="3"/>
  <c r="P99" i="3"/>
  <c r="V99" i="3"/>
  <c r="AB99" i="3"/>
  <c r="G44" i="2"/>
  <c r="G45" i="2" s="1"/>
  <c r="G46" i="2" s="1"/>
  <c r="G47" i="2" s="1"/>
  <c r="V60" i="3"/>
  <c r="AB60" i="3"/>
  <c r="P60" i="3"/>
  <c r="Q94" i="3"/>
  <c r="W94" i="3"/>
  <c r="Q95" i="3"/>
  <c r="W95" i="3"/>
  <c r="Q96" i="3"/>
  <c r="W96" i="3"/>
  <c r="Q97" i="3"/>
  <c r="W97" i="3"/>
  <c r="Q98" i="3"/>
  <c r="W98" i="3"/>
  <c r="Q99" i="3"/>
  <c r="W99" i="3"/>
  <c r="Q61" i="3"/>
  <c r="W61" i="3"/>
  <c r="Q62" i="3"/>
  <c r="W62" i="3"/>
  <c r="Q63" i="3"/>
  <c r="W63" i="3"/>
  <c r="Q64" i="3"/>
  <c r="W64" i="3"/>
  <c r="Q65" i="3"/>
  <c r="W65" i="3"/>
  <c r="Q66" i="3"/>
  <c r="W66" i="3"/>
  <c r="Q67" i="3"/>
  <c r="W67" i="3"/>
  <c r="Q68" i="3"/>
  <c r="W68" i="3"/>
  <c r="Q69" i="3"/>
  <c r="W69" i="3"/>
  <c r="Q70" i="3"/>
  <c r="W70" i="3"/>
  <c r="Q71" i="3"/>
  <c r="W71" i="3"/>
  <c r="Q72" i="3"/>
  <c r="W72" i="3"/>
  <c r="Q73" i="3"/>
  <c r="W73" i="3"/>
  <c r="Q74" i="3"/>
  <c r="W74" i="3"/>
  <c r="Q75" i="3"/>
  <c r="W75" i="3"/>
  <c r="Q76" i="3"/>
  <c r="W76" i="3"/>
  <c r="Q77" i="3"/>
  <c r="W77" i="3"/>
  <c r="Q78" i="3"/>
  <c r="W78" i="3"/>
  <c r="Q79" i="3"/>
  <c r="W79" i="3"/>
  <c r="Q80" i="3"/>
  <c r="W80" i="3"/>
  <c r="Q81" i="3"/>
  <c r="W81" i="3"/>
  <c r="Q82" i="3"/>
  <c r="W82" i="3"/>
  <c r="Q83" i="3"/>
  <c r="W83" i="3"/>
  <c r="Q84" i="3"/>
  <c r="W84" i="3"/>
  <c r="Q85" i="3"/>
  <c r="W85" i="3"/>
  <c r="Q86" i="3"/>
  <c r="W86" i="3"/>
  <c r="Q87" i="3"/>
  <c r="W87" i="3"/>
  <c r="Q88" i="3"/>
  <c r="W88" i="3"/>
  <c r="Q89" i="3"/>
  <c r="W89" i="3"/>
  <c r="Q90" i="3"/>
  <c r="W90" i="3"/>
  <c r="Q91" i="3"/>
  <c r="W91" i="3"/>
  <c r="Q92" i="3"/>
  <c r="W92" i="3"/>
  <c r="Q93" i="3"/>
  <c r="W93" i="3"/>
  <c r="W60" i="3"/>
  <c r="Q60" i="3"/>
  <c r="A46" i="2"/>
  <c r="A47" i="2"/>
  <c r="A45" i="2"/>
  <c r="F31" i="8" l="1"/>
  <c r="H31" i="8"/>
  <c r="S9" i="2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52" i="2" s="1"/>
  <c r="S53" i="2" s="1"/>
  <c r="S54" i="2" s="1"/>
  <c r="S55" i="2" s="1"/>
  <c r="M44" i="2"/>
  <c r="M45" i="2" s="1"/>
  <c r="M46" i="2" s="1"/>
  <c r="M47" i="2" s="1"/>
  <c r="M48" i="2" s="1"/>
  <c r="M49" i="2" s="1"/>
  <c r="M50" i="2" s="1"/>
  <c r="M51" i="2" s="1"/>
  <c r="M9" i="2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A44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G9" i="2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Q8" i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L43" i="1"/>
  <c r="L44" i="1" s="1"/>
  <c r="L45" i="1" s="1"/>
  <c r="L46" i="1" s="1"/>
  <c r="L47" i="1" s="1"/>
  <c r="L48" i="1" s="1"/>
  <c r="L50" i="1" s="1"/>
  <c r="L8" i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G31" i="8" l="1"/>
  <c r="E31" i="8" s="1"/>
  <c r="H32" i="8" s="1"/>
  <c r="B16" i="3"/>
  <c r="C5" i="5"/>
  <c r="C7" i="5"/>
  <c r="C8" i="5"/>
  <c r="C9" i="5"/>
  <c r="F32" i="8" l="1"/>
  <c r="G32" i="8" s="1"/>
  <c r="E32" i="8" s="1"/>
  <c r="AE20" i="3"/>
  <c r="Y20" i="3"/>
  <c r="S20" i="3"/>
  <c r="M20" i="3"/>
  <c r="K20" i="3"/>
  <c r="AC20" i="3" s="1"/>
  <c r="A20" i="3"/>
  <c r="A21" i="3"/>
  <c r="A22" i="3" s="1"/>
  <c r="A23" i="3" s="1"/>
  <c r="A24" i="3" s="1"/>
  <c r="G20" i="3"/>
  <c r="H16" i="4"/>
  <c r="Q1" i="3"/>
  <c r="Q2" i="3" s="1"/>
  <c r="N1" i="3"/>
  <c r="N2" i="3" s="1"/>
  <c r="K1" i="3"/>
  <c r="K2" i="3" s="1"/>
  <c r="E1" i="3"/>
  <c r="F1" i="3" s="1"/>
  <c r="C1" i="3"/>
  <c r="H33" i="8" l="1"/>
  <c r="F33" i="8"/>
  <c r="A25" i="3"/>
  <c r="G1" i="3"/>
  <c r="G8" i="4" s="1"/>
  <c r="A12" i="3"/>
  <c r="A6" i="3"/>
  <c r="A1" i="3"/>
  <c r="C16" i="4"/>
  <c r="E20" i="3" l="1"/>
  <c r="E24" i="3"/>
  <c r="E28" i="3"/>
  <c r="E32" i="3"/>
  <c r="E36" i="3"/>
  <c r="E40" i="3"/>
  <c r="E44" i="3"/>
  <c r="E48" i="3"/>
  <c r="E52" i="3"/>
  <c r="E56" i="3"/>
  <c r="E60" i="3"/>
  <c r="E64" i="3"/>
  <c r="E68" i="3"/>
  <c r="E72" i="3"/>
  <c r="E76" i="3"/>
  <c r="E80" i="3"/>
  <c r="E84" i="3"/>
  <c r="E88" i="3"/>
  <c r="E92" i="3"/>
  <c r="E96" i="3"/>
  <c r="E100" i="3"/>
  <c r="E104" i="3"/>
  <c r="E108" i="3"/>
  <c r="E112" i="3"/>
  <c r="D24" i="3"/>
  <c r="D28" i="3"/>
  <c r="D32" i="3"/>
  <c r="D36" i="3"/>
  <c r="D40" i="3"/>
  <c r="D44" i="3"/>
  <c r="D48" i="3"/>
  <c r="D52" i="3"/>
  <c r="D56" i="3"/>
  <c r="D60" i="3"/>
  <c r="D64" i="3"/>
  <c r="D68" i="3"/>
  <c r="D72" i="3"/>
  <c r="D76" i="3"/>
  <c r="D80" i="3"/>
  <c r="D84" i="3"/>
  <c r="D88" i="3"/>
  <c r="D92" i="3"/>
  <c r="D96" i="3"/>
  <c r="D100" i="3"/>
  <c r="D104" i="3"/>
  <c r="D108" i="3"/>
  <c r="D112" i="3"/>
  <c r="E21" i="3"/>
  <c r="E25" i="3"/>
  <c r="E29" i="3"/>
  <c r="E33" i="3"/>
  <c r="E41" i="3"/>
  <c r="E45" i="3"/>
  <c r="E49" i="3"/>
  <c r="E53" i="3"/>
  <c r="E61" i="3"/>
  <c r="E69" i="3"/>
  <c r="E77" i="3"/>
  <c r="E85" i="3"/>
  <c r="E93" i="3"/>
  <c r="E101" i="3"/>
  <c r="E109" i="3"/>
  <c r="D25" i="3"/>
  <c r="D33" i="3"/>
  <c r="D41" i="3"/>
  <c r="D49" i="3"/>
  <c r="D57" i="3"/>
  <c r="D65" i="3"/>
  <c r="D73" i="3"/>
  <c r="D81" i="3"/>
  <c r="D89" i="3"/>
  <c r="D97" i="3"/>
  <c r="D105" i="3"/>
  <c r="D20" i="3"/>
  <c r="B20" i="3" s="1"/>
  <c r="E22" i="3"/>
  <c r="E26" i="3"/>
  <c r="E30" i="3"/>
  <c r="E34" i="3"/>
  <c r="E38" i="3"/>
  <c r="E42" i="3"/>
  <c r="E46" i="3"/>
  <c r="E50" i="3"/>
  <c r="E54" i="3"/>
  <c r="E58" i="3"/>
  <c r="E62" i="3"/>
  <c r="E66" i="3"/>
  <c r="E70" i="3"/>
  <c r="E74" i="3"/>
  <c r="E78" i="3"/>
  <c r="E82" i="3"/>
  <c r="E86" i="3"/>
  <c r="E90" i="3"/>
  <c r="E94" i="3"/>
  <c r="E98" i="3"/>
  <c r="E102" i="3"/>
  <c r="E106" i="3"/>
  <c r="E110" i="3"/>
  <c r="D22" i="3"/>
  <c r="D26" i="3"/>
  <c r="D30" i="3"/>
  <c r="D34" i="3"/>
  <c r="D38" i="3"/>
  <c r="D42" i="3"/>
  <c r="D46" i="3"/>
  <c r="D50" i="3"/>
  <c r="D54" i="3"/>
  <c r="D58" i="3"/>
  <c r="D62" i="3"/>
  <c r="D66" i="3"/>
  <c r="D70" i="3"/>
  <c r="D74" i="3"/>
  <c r="D78" i="3"/>
  <c r="D82" i="3"/>
  <c r="D86" i="3"/>
  <c r="D90" i="3"/>
  <c r="D94" i="3"/>
  <c r="D98" i="3"/>
  <c r="D102" i="3"/>
  <c r="D106" i="3"/>
  <c r="D110" i="3"/>
  <c r="E23" i="3"/>
  <c r="E27" i="3"/>
  <c r="E31" i="3"/>
  <c r="E35" i="3"/>
  <c r="E39" i="3"/>
  <c r="E43" i="3"/>
  <c r="E47" i="3"/>
  <c r="E51" i="3"/>
  <c r="E55" i="3"/>
  <c r="E59" i="3"/>
  <c r="E63" i="3"/>
  <c r="E67" i="3"/>
  <c r="E71" i="3"/>
  <c r="E75" i="3"/>
  <c r="E79" i="3"/>
  <c r="E83" i="3"/>
  <c r="E87" i="3"/>
  <c r="E91" i="3"/>
  <c r="E95" i="3"/>
  <c r="E99" i="3"/>
  <c r="E103" i="3"/>
  <c r="E107" i="3"/>
  <c r="E111" i="3"/>
  <c r="D23" i="3"/>
  <c r="D27" i="3"/>
  <c r="D31" i="3"/>
  <c r="D35" i="3"/>
  <c r="D39" i="3"/>
  <c r="D43" i="3"/>
  <c r="D47" i="3"/>
  <c r="D51" i="3"/>
  <c r="D55" i="3"/>
  <c r="D59" i="3"/>
  <c r="D63" i="3"/>
  <c r="D67" i="3"/>
  <c r="D71" i="3"/>
  <c r="D75" i="3"/>
  <c r="D79" i="3"/>
  <c r="D83" i="3"/>
  <c r="D87" i="3"/>
  <c r="D91" i="3"/>
  <c r="D95" i="3"/>
  <c r="D99" i="3"/>
  <c r="D103" i="3"/>
  <c r="D107" i="3"/>
  <c r="D111" i="3"/>
  <c r="E37" i="3"/>
  <c r="E57" i="3"/>
  <c r="E65" i="3"/>
  <c r="E73" i="3"/>
  <c r="E81" i="3"/>
  <c r="E89" i="3"/>
  <c r="E97" i="3"/>
  <c r="E105" i="3"/>
  <c r="D21" i="3"/>
  <c r="D29" i="3"/>
  <c r="D37" i="3"/>
  <c r="D45" i="3"/>
  <c r="D53" i="3"/>
  <c r="D61" i="3"/>
  <c r="D69" i="3"/>
  <c r="D77" i="3"/>
  <c r="D85" i="3"/>
  <c r="D93" i="3"/>
  <c r="D101" i="3"/>
  <c r="D109" i="3"/>
  <c r="I20" i="3"/>
  <c r="O20" i="3"/>
  <c r="C6" i="5"/>
  <c r="B2" i="3"/>
  <c r="B1" i="3" s="1"/>
  <c r="B21" i="3"/>
  <c r="H5" i="3"/>
  <c r="O59" i="3"/>
  <c r="G33" i="8"/>
  <c r="E33" i="8" s="1"/>
  <c r="H34" i="8" s="1"/>
  <c r="C17" i="4"/>
  <c r="J9" i="3"/>
  <c r="O21" i="3"/>
  <c r="I22" i="3"/>
  <c r="B25" i="3"/>
  <c r="U21" i="3"/>
  <c r="O22" i="3"/>
  <c r="AA24" i="3"/>
  <c r="AA25" i="3"/>
  <c r="U20" i="3"/>
  <c r="C20" i="3" s="1"/>
  <c r="B24" i="3"/>
  <c r="I21" i="3"/>
  <c r="AA23" i="3"/>
  <c r="I23" i="3"/>
  <c r="U24" i="3"/>
  <c r="U25" i="3"/>
  <c r="AA21" i="3"/>
  <c r="I25" i="3"/>
  <c r="AA20" i="3"/>
  <c r="U22" i="3"/>
  <c r="O24" i="3"/>
  <c r="B22" i="3"/>
  <c r="O23" i="3"/>
  <c r="U23" i="3"/>
  <c r="O25" i="3"/>
  <c r="I24" i="3"/>
  <c r="B23" i="3"/>
  <c r="AA22" i="3"/>
  <c r="A26" i="3"/>
  <c r="J8" i="3"/>
  <c r="J10" i="3"/>
  <c r="D17" i="4" s="1"/>
  <c r="C3" i="5" s="1"/>
  <c r="C17" i="5" l="1"/>
  <c r="F5" i="6"/>
  <c r="C25" i="3"/>
  <c r="F34" i="8"/>
  <c r="G34" i="8" s="1"/>
  <c r="E34" i="8" s="1"/>
  <c r="C21" i="3"/>
  <c r="C24" i="3"/>
  <c r="C23" i="5"/>
  <c r="C13" i="5"/>
  <c r="C15" i="5"/>
  <c r="C14" i="5"/>
  <c r="C19" i="5"/>
  <c r="C16" i="5"/>
  <c r="C20" i="5"/>
  <c r="C21" i="5"/>
  <c r="C18" i="5"/>
  <c r="C12" i="5"/>
  <c r="C22" i="5"/>
  <c r="C23" i="3"/>
  <c r="C22" i="3"/>
  <c r="B26" i="3"/>
  <c r="O26" i="3"/>
  <c r="AA26" i="3"/>
  <c r="U26" i="3"/>
  <c r="I26" i="3"/>
  <c r="A27" i="3"/>
  <c r="F35" i="8" l="1"/>
  <c r="H35" i="8"/>
  <c r="G35" i="8" s="1"/>
  <c r="E35" i="8" s="1"/>
  <c r="C26" i="3"/>
  <c r="O27" i="3"/>
  <c r="AA27" i="3"/>
  <c r="U27" i="3"/>
  <c r="B27" i="3"/>
  <c r="I27" i="3"/>
  <c r="A28" i="3"/>
  <c r="F36" i="8" l="1"/>
  <c r="H36" i="8"/>
  <c r="C27" i="3"/>
  <c r="O28" i="3"/>
  <c r="B28" i="3"/>
  <c r="AA28" i="3"/>
  <c r="U28" i="3"/>
  <c r="I28" i="3"/>
  <c r="A29" i="3"/>
  <c r="G36" i="8" l="1"/>
  <c r="E36" i="8" s="1"/>
  <c r="F37" i="8" s="1"/>
  <c r="C28" i="3"/>
  <c r="AA29" i="3"/>
  <c r="I29" i="3"/>
  <c r="U29" i="3"/>
  <c r="O29" i="3"/>
  <c r="B29" i="3"/>
  <c r="A30" i="3"/>
  <c r="H37" i="8" l="1"/>
  <c r="G37" i="8" s="1"/>
  <c r="E37" i="8" s="1"/>
  <c r="F38" i="8" s="1"/>
  <c r="C29" i="3"/>
  <c r="U30" i="3"/>
  <c r="AA30" i="3"/>
  <c r="B30" i="3"/>
  <c r="I30" i="3"/>
  <c r="O30" i="3"/>
  <c r="A31" i="3"/>
  <c r="H38" i="8" l="1"/>
  <c r="G38" i="8" s="1"/>
  <c r="E38" i="8" s="1"/>
  <c r="H39" i="8" s="1"/>
  <c r="C30" i="3"/>
  <c r="B31" i="3"/>
  <c r="O31" i="3"/>
  <c r="I31" i="3"/>
  <c r="U31" i="3"/>
  <c r="AA31" i="3"/>
  <c r="A32" i="3"/>
  <c r="F39" i="8" l="1"/>
  <c r="G39" i="8" s="1"/>
  <c r="E39" i="8" s="1"/>
  <c r="F40" i="8" s="1"/>
  <c r="C31" i="3"/>
  <c r="AA32" i="3"/>
  <c r="U32" i="3"/>
  <c r="B32" i="3"/>
  <c r="I32" i="3"/>
  <c r="O32" i="3"/>
  <c r="A33" i="3"/>
  <c r="H40" i="8" l="1"/>
  <c r="G40" i="8" s="1"/>
  <c r="E40" i="8" s="1"/>
  <c r="F41" i="8" s="1"/>
  <c r="C32" i="3"/>
  <c r="A34" i="3"/>
  <c r="I33" i="3"/>
  <c r="U33" i="3"/>
  <c r="B33" i="3"/>
  <c r="AA33" i="3"/>
  <c r="O33" i="3"/>
  <c r="H41" i="8" l="1"/>
  <c r="G41" i="8" s="1"/>
  <c r="E41" i="8" s="1"/>
  <c r="H42" i="8" s="1"/>
  <c r="C33" i="3"/>
  <c r="A35" i="3"/>
  <c r="I34" i="3"/>
  <c r="B34" i="3"/>
  <c r="U34" i="3"/>
  <c r="O34" i="3"/>
  <c r="AA34" i="3"/>
  <c r="F42" i="8" l="1"/>
  <c r="G42" i="8" s="1"/>
  <c r="E42" i="8" s="1"/>
  <c r="F43" i="8" s="1"/>
  <c r="C34" i="3"/>
  <c r="A36" i="3"/>
  <c r="B35" i="3"/>
  <c r="O35" i="3"/>
  <c r="AA35" i="3"/>
  <c r="I35" i="3"/>
  <c r="U35" i="3"/>
  <c r="H43" i="8" l="1"/>
  <c r="G43" i="8" s="1"/>
  <c r="E43" i="8" s="1"/>
  <c r="F44" i="8" s="1"/>
  <c r="C35" i="3"/>
  <c r="B36" i="3"/>
  <c r="I36" i="3"/>
  <c r="AA36" i="3"/>
  <c r="U36" i="3"/>
  <c r="O36" i="3"/>
  <c r="A37" i="3"/>
  <c r="H44" i="8" l="1"/>
  <c r="G44" i="8" s="1"/>
  <c r="E44" i="8" s="1"/>
  <c r="H45" i="8" s="1"/>
  <c r="C36" i="3"/>
  <c r="AA37" i="3"/>
  <c r="I37" i="3"/>
  <c r="U37" i="3"/>
  <c r="O37" i="3"/>
  <c r="B37" i="3"/>
  <c r="A38" i="3"/>
  <c r="F45" i="8" l="1"/>
  <c r="G45" i="8" s="1"/>
  <c r="E45" i="8" s="1"/>
  <c r="H46" i="8" s="1"/>
  <c r="C37" i="3"/>
  <c r="O38" i="3"/>
  <c r="U38" i="3"/>
  <c r="B38" i="3"/>
  <c r="AA38" i="3"/>
  <c r="I38" i="3"/>
  <c r="A39" i="3"/>
  <c r="F46" i="8" l="1"/>
  <c r="G46" i="8" s="1"/>
  <c r="E46" i="8" s="1"/>
  <c r="F47" i="8" s="1"/>
  <c r="C38" i="3"/>
  <c r="I39" i="3"/>
  <c r="U39" i="3"/>
  <c r="AA39" i="3"/>
  <c r="O39" i="3"/>
  <c r="B39" i="3"/>
  <c r="A40" i="3"/>
  <c r="H47" i="8" l="1"/>
  <c r="G47" i="8" s="1"/>
  <c r="E47" i="8" s="1"/>
  <c r="H48" i="8" s="1"/>
  <c r="C39" i="3"/>
  <c r="B40" i="3"/>
  <c r="AA40" i="3"/>
  <c r="U40" i="3"/>
  <c r="O40" i="3"/>
  <c r="I40" i="3"/>
  <c r="A41" i="3"/>
  <c r="F48" i="8" l="1"/>
  <c r="G48" i="8" s="1"/>
  <c r="E48" i="8" s="1"/>
  <c r="H49" i="8" s="1"/>
  <c r="C40" i="3"/>
  <c r="O41" i="3"/>
  <c r="B41" i="3"/>
  <c r="AA41" i="3"/>
  <c r="I41" i="3"/>
  <c r="U41" i="3"/>
  <c r="A42" i="3"/>
  <c r="F49" i="8" l="1"/>
  <c r="G49" i="8" s="1"/>
  <c r="E49" i="8" s="1"/>
  <c r="H50" i="8" s="1"/>
  <c r="C41" i="3"/>
  <c r="U42" i="3"/>
  <c r="B42" i="3"/>
  <c r="I42" i="3"/>
  <c r="O42" i="3"/>
  <c r="AA42" i="3"/>
  <c r="A43" i="3"/>
  <c r="F50" i="8" l="1"/>
  <c r="G50" i="8" s="1"/>
  <c r="E50" i="8" s="1"/>
  <c r="F51" i="8" s="1"/>
  <c r="C42" i="3"/>
  <c r="O43" i="3"/>
  <c r="AA43" i="3"/>
  <c r="U43" i="3"/>
  <c r="B43" i="3"/>
  <c r="I43" i="3"/>
  <c r="A44" i="3"/>
  <c r="H51" i="8" l="1"/>
  <c r="G51" i="8" s="1"/>
  <c r="E51" i="8" s="1"/>
  <c r="F52" i="8" s="1"/>
  <c r="C43" i="3"/>
  <c r="O44" i="3"/>
  <c r="I44" i="3"/>
  <c r="AA44" i="3"/>
  <c r="U44" i="3"/>
  <c r="B44" i="3"/>
  <c r="A45" i="3"/>
  <c r="H52" i="8" l="1"/>
  <c r="G52" i="8" s="1"/>
  <c r="E52" i="8" s="1"/>
  <c r="C44" i="3"/>
  <c r="AA45" i="3"/>
  <c r="B45" i="3"/>
  <c r="U45" i="3"/>
  <c r="I45" i="3"/>
  <c r="O45" i="3"/>
  <c r="A46" i="3"/>
  <c r="H53" i="8" l="1"/>
  <c r="F53" i="8"/>
  <c r="C45" i="3"/>
  <c r="U46" i="3"/>
  <c r="AA46" i="3"/>
  <c r="B46" i="3"/>
  <c r="I46" i="3"/>
  <c r="O46" i="3"/>
  <c r="A47" i="3"/>
  <c r="G53" i="8" l="1"/>
  <c r="E53" i="8" s="1"/>
  <c r="C46" i="3"/>
  <c r="O47" i="3"/>
  <c r="AA47" i="3"/>
  <c r="B47" i="3"/>
  <c r="I47" i="3"/>
  <c r="U47" i="3"/>
  <c r="A48" i="3"/>
  <c r="H54" i="8" l="1"/>
  <c r="F54" i="8"/>
  <c r="C47" i="3"/>
  <c r="B48" i="3"/>
  <c r="AA48" i="3"/>
  <c r="U48" i="3"/>
  <c r="I48" i="3"/>
  <c r="O48" i="3"/>
  <c r="A49" i="3"/>
  <c r="G54" i="8" l="1"/>
  <c r="E54" i="8" s="1"/>
  <c r="C48" i="3"/>
  <c r="I49" i="3"/>
  <c r="B49" i="3"/>
  <c r="U49" i="3"/>
  <c r="O49" i="3"/>
  <c r="AA49" i="3"/>
  <c r="A50" i="3"/>
  <c r="H55" i="8" l="1"/>
  <c r="F55" i="8"/>
  <c r="C49" i="3"/>
  <c r="I50" i="3"/>
  <c r="B50" i="3"/>
  <c r="U50" i="3"/>
  <c r="O50" i="3"/>
  <c r="AA50" i="3"/>
  <c r="A51" i="3"/>
  <c r="G55" i="8" l="1"/>
  <c r="E55" i="8" s="1"/>
  <c r="F56" i="8" s="1"/>
  <c r="C50" i="3"/>
  <c r="I51" i="3"/>
  <c r="O51" i="3"/>
  <c r="AA51" i="3"/>
  <c r="B51" i="3"/>
  <c r="U51" i="3"/>
  <c r="A52" i="3"/>
  <c r="H56" i="8" l="1"/>
  <c r="G56" i="8" s="1"/>
  <c r="E56" i="8" s="1"/>
  <c r="H57" i="8" s="1"/>
  <c r="C51" i="3"/>
  <c r="U52" i="3"/>
  <c r="AA52" i="3"/>
  <c r="B52" i="3"/>
  <c r="O52" i="3"/>
  <c r="I52" i="3"/>
  <c r="A53" i="3"/>
  <c r="F57" i="8" l="1"/>
  <c r="G57" i="8" s="1"/>
  <c r="E57" i="8" s="1"/>
  <c r="H58" i="8" s="1"/>
  <c r="C52" i="3"/>
  <c r="AA53" i="3"/>
  <c r="O53" i="3"/>
  <c r="I53" i="3"/>
  <c r="B53" i="3"/>
  <c r="U53" i="3"/>
  <c r="A54" i="3"/>
  <c r="F58" i="8" l="1"/>
  <c r="G58" i="8" s="1"/>
  <c r="E58" i="8" s="1"/>
  <c r="F59" i="8" s="1"/>
  <c r="C53" i="3"/>
  <c r="B54" i="3"/>
  <c r="U54" i="3"/>
  <c r="O54" i="3"/>
  <c r="AA54" i="3"/>
  <c r="I54" i="3"/>
  <c r="A55" i="3"/>
  <c r="H59" i="8" l="1"/>
  <c r="G59" i="8" s="1"/>
  <c r="E59" i="8" s="1"/>
  <c r="C54" i="3"/>
  <c r="O55" i="3"/>
  <c r="AA55" i="3"/>
  <c r="B55" i="3"/>
  <c r="I55" i="3"/>
  <c r="U55" i="3"/>
  <c r="A56" i="3"/>
  <c r="F60" i="8" l="1"/>
  <c r="H60" i="8"/>
  <c r="G60" i="8" s="1"/>
  <c r="E60" i="8" s="1"/>
  <c r="F61" i="8" s="1"/>
  <c r="C55" i="3"/>
  <c r="A57" i="3"/>
  <c r="AA56" i="3"/>
  <c r="U56" i="3"/>
  <c r="I56" i="3"/>
  <c r="O56" i="3"/>
  <c r="B56" i="3"/>
  <c r="H61" i="8" l="1"/>
  <c r="G61" i="8" s="1"/>
  <c r="E61" i="8" s="1"/>
  <c r="C56" i="3"/>
  <c r="A58" i="3"/>
  <c r="AA57" i="3"/>
  <c r="I57" i="3"/>
  <c r="U57" i="3"/>
  <c r="B57" i="3"/>
  <c r="O57" i="3"/>
  <c r="F62" i="8" l="1"/>
  <c r="H62" i="8"/>
  <c r="G62" i="8" s="1"/>
  <c r="E62" i="8" s="1"/>
  <c r="H63" i="8" s="1"/>
  <c r="C57" i="3"/>
  <c r="A59" i="3"/>
  <c r="O58" i="3"/>
  <c r="AA58" i="3"/>
  <c r="U58" i="3"/>
  <c r="B58" i="3"/>
  <c r="I58" i="3"/>
  <c r="F63" i="8" l="1"/>
  <c r="G63" i="8" s="1"/>
  <c r="E63" i="8" s="1"/>
  <c r="C58" i="3"/>
  <c r="AA59" i="3"/>
  <c r="U59" i="3"/>
  <c r="B59" i="3"/>
  <c r="I59" i="3"/>
  <c r="A60" i="3"/>
  <c r="H64" i="8" l="1"/>
  <c r="F64" i="8"/>
  <c r="C59" i="3"/>
  <c r="O60" i="3"/>
  <c r="AA60" i="3"/>
  <c r="B60" i="3"/>
  <c r="I60" i="3"/>
  <c r="U60" i="3"/>
  <c r="A61" i="3"/>
  <c r="G64" i="8" l="1"/>
  <c r="E64" i="8" s="1"/>
  <c r="H65" i="8" s="1"/>
  <c r="C60" i="3"/>
  <c r="AA61" i="3"/>
  <c r="B61" i="3"/>
  <c r="O61" i="3"/>
  <c r="I61" i="3"/>
  <c r="U61" i="3"/>
  <c r="A62" i="3"/>
  <c r="F65" i="8" l="1"/>
  <c r="G65" i="8" s="1"/>
  <c r="E65" i="8" s="1"/>
  <c r="F66" i="8" s="1"/>
  <c r="C61" i="3"/>
  <c r="U62" i="3"/>
  <c r="B62" i="3"/>
  <c r="AA62" i="3"/>
  <c r="I62" i="3"/>
  <c r="O62" i="3"/>
  <c r="A63" i="3"/>
  <c r="H66" i="8" l="1"/>
  <c r="G66" i="8" s="1"/>
  <c r="E66" i="8" s="1"/>
  <c r="F67" i="8" s="1"/>
  <c r="C62" i="3"/>
  <c r="B63" i="3"/>
  <c r="O63" i="3"/>
  <c r="AA63" i="3"/>
  <c r="I63" i="3"/>
  <c r="U63" i="3"/>
  <c r="A64" i="3"/>
  <c r="H67" i="8" l="1"/>
  <c r="G67" i="8" s="1"/>
  <c r="E67" i="8" s="1"/>
  <c r="F68" i="8" s="1"/>
  <c r="C63" i="3"/>
  <c r="AA64" i="3"/>
  <c r="I64" i="3"/>
  <c r="U64" i="3"/>
  <c r="B64" i="3"/>
  <c r="O64" i="3"/>
  <c r="A65" i="3"/>
  <c r="H68" i="8" l="1"/>
  <c r="G68" i="8" s="1"/>
  <c r="E68" i="8" s="1"/>
  <c r="F69" i="8" s="1"/>
  <c r="C64" i="3"/>
  <c r="I65" i="3"/>
  <c r="U65" i="3"/>
  <c r="AA65" i="3"/>
  <c r="B65" i="3"/>
  <c r="O65" i="3"/>
  <c r="A66" i="3"/>
  <c r="H69" i="8" l="1"/>
  <c r="G69" i="8" s="1"/>
  <c r="E69" i="8" s="1"/>
  <c r="C65" i="3"/>
  <c r="B66" i="3"/>
  <c r="I66" i="3"/>
  <c r="U66" i="3"/>
  <c r="O66" i="3"/>
  <c r="AA66" i="3"/>
  <c r="A67" i="3"/>
  <c r="H70" i="8" l="1"/>
  <c r="F70" i="8"/>
  <c r="C66" i="3"/>
  <c r="O67" i="3"/>
  <c r="I67" i="3"/>
  <c r="AA67" i="3"/>
  <c r="U67" i="3"/>
  <c r="B67" i="3"/>
  <c r="A68" i="3"/>
  <c r="G70" i="8" l="1"/>
  <c r="E70" i="8" s="1"/>
  <c r="F71" i="8" s="1"/>
  <c r="C67" i="3"/>
  <c r="AA68" i="3"/>
  <c r="I68" i="3"/>
  <c r="B68" i="3"/>
  <c r="U68" i="3"/>
  <c r="O68" i="3"/>
  <c r="A69" i="3"/>
  <c r="H71" i="8" l="1"/>
  <c r="G71" i="8" s="1"/>
  <c r="E71" i="8" s="1"/>
  <c r="H72" i="8" s="1"/>
  <c r="C68" i="3"/>
  <c r="A70" i="3"/>
  <c r="AA69" i="3"/>
  <c r="B69" i="3"/>
  <c r="I69" i="3"/>
  <c r="U69" i="3"/>
  <c r="O69" i="3"/>
  <c r="F72" i="8" l="1"/>
  <c r="G72" i="8" s="1"/>
  <c r="E72" i="8" s="1"/>
  <c r="C69" i="3"/>
  <c r="A71" i="3"/>
  <c r="O70" i="3"/>
  <c r="U70" i="3"/>
  <c r="B70" i="3"/>
  <c r="AA70" i="3"/>
  <c r="I70" i="3"/>
  <c r="H73" i="8" l="1"/>
  <c r="F73" i="8"/>
  <c r="C70" i="3"/>
  <c r="A72" i="3"/>
  <c r="AA71" i="3"/>
  <c r="O71" i="3"/>
  <c r="I71" i="3"/>
  <c r="B71" i="3"/>
  <c r="U71" i="3"/>
  <c r="G73" i="8" l="1"/>
  <c r="E73" i="8" s="1"/>
  <c r="C71" i="3"/>
  <c r="I72" i="3"/>
  <c r="U72" i="3"/>
  <c r="B72" i="3"/>
  <c r="A73" i="3"/>
  <c r="AA72" i="3"/>
  <c r="O72" i="3"/>
  <c r="H74" i="8" l="1"/>
  <c r="F74" i="8"/>
  <c r="C72" i="3"/>
  <c r="AA73" i="3"/>
  <c r="I73" i="3"/>
  <c r="B73" i="3"/>
  <c r="U73" i="3"/>
  <c r="O73" i="3"/>
  <c r="A74" i="3"/>
  <c r="G74" i="8" l="1"/>
  <c r="E74" i="8" s="1"/>
  <c r="H75" i="8" s="1"/>
  <c r="C73" i="3"/>
  <c r="B74" i="3"/>
  <c r="U74" i="3"/>
  <c r="I74" i="3"/>
  <c r="O74" i="3"/>
  <c r="AA74" i="3"/>
  <c r="A75" i="3"/>
  <c r="F75" i="8" l="1"/>
  <c r="G75" i="8" s="1"/>
  <c r="E75" i="8" s="1"/>
  <c r="C74" i="3"/>
  <c r="B75" i="3"/>
  <c r="O75" i="3"/>
  <c r="I75" i="3"/>
  <c r="AA75" i="3"/>
  <c r="U75" i="3"/>
  <c r="A76" i="3"/>
  <c r="C75" i="3" l="1"/>
  <c r="H76" i="8"/>
  <c r="F76" i="8"/>
  <c r="AA76" i="3"/>
  <c r="I76" i="3"/>
  <c r="U76" i="3"/>
  <c r="O76" i="3"/>
  <c r="B76" i="3"/>
  <c r="A77" i="3"/>
  <c r="G76" i="8" l="1"/>
  <c r="E76" i="8" s="1"/>
  <c r="F77" i="8" s="1"/>
  <c r="C76" i="3"/>
  <c r="I77" i="3"/>
  <c r="O77" i="3"/>
  <c r="AA77" i="3"/>
  <c r="U77" i="3"/>
  <c r="B77" i="3"/>
  <c r="A78" i="3"/>
  <c r="H77" i="8" l="1"/>
  <c r="G77" i="8" s="1"/>
  <c r="E77" i="8" s="1"/>
  <c r="F78" i="8" s="1"/>
  <c r="C77" i="3"/>
  <c r="U78" i="3"/>
  <c r="AA78" i="3"/>
  <c r="B78" i="3"/>
  <c r="O78" i="3"/>
  <c r="I78" i="3"/>
  <c r="A79" i="3"/>
  <c r="H78" i="8" l="1"/>
  <c r="G78" i="8" s="1"/>
  <c r="E78" i="8" s="1"/>
  <c r="C78" i="3"/>
  <c r="B79" i="3"/>
  <c r="U79" i="3"/>
  <c r="O79" i="3"/>
  <c r="I79" i="3"/>
  <c r="AA79" i="3"/>
  <c r="A80" i="3"/>
  <c r="H79" i="8" l="1"/>
  <c r="F79" i="8"/>
  <c r="C79" i="3"/>
  <c r="O80" i="3"/>
  <c r="AA80" i="3"/>
  <c r="I80" i="3"/>
  <c r="U80" i="3"/>
  <c r="B80" i="3"/>
  <c r="A81" i="3"/>
  <c r="G79" i="8" l="1"/>
  <c r="E79" i="8" s="1"/>
  <c r="F80" i="8" s="1"/>
  <c r="C80" i="3"/>
  <c r="U81" i="3"/>
  <c r="I81" i="3"/>
  <c r="AA81" i="3"/>
  <c r="O81" i="3"/>
  <c r="B81" i="3"/>
  <c r="A82" i="3"/>
  <c r="H80" i="8" l="1"/>
  <c r="G80" i="8" s="1"/>
  <c r="E80" i="8" s="1"/>
  <c r="C81" i="3"/>
  <c r="B82" i="3"/>
  <c r="I82" i="3"/>
  <c r="U82" i="3"/>
  <c r="O82" i="3"/>
  <c r="AA82" i="3"/>
  <c r="A83" i="3"/>
  <c r="F81" i="8" l="1"/>
  <c r="H81" i="8"/>
  <c r="C82" i="3"/>
  <c r="A84" i="3"/>
  <c r="O83" i="3"/>
  <c r="I83" i="3"/>
  <c r="AA83" i="3"/>
  <c r="B83" i="3"/>
  <c r="U83" i="3"/>
  <c r="G81" i="8" l="1"/>
  <c r="E81" i="8" s="1"/>
  <c r="H82" i="8" s="1"/>
  <c r="C83" i="3"/>
  <c r="A85" i="3"/>
  <c r="AA84" i="3"/>
  <c r="U84" i="3"/>
  <c r="I84" i="3"/>
  <c r="B84" i="3"/>
  <c r="O84" i="3"/>
  <c r="F82" i="8" l="1"/>
  <c r="G82" i="8" s="1"/>
  <c r="E82" i="8" s="1"/>
  <c r="H83" i="8" s="1"/>
  <c r="C84" i="3"/>
  <c r="A86" i="3"/>
  <c r="U85" i="3"/>
  <c r="AA85" i="3"/>
  <c r="B85" i="3"/>
  <c r="I85" i="3"/>
  <c r="O85" i="3"/>
  <c r="F83" i="8" l="1"/>
  <c r="G83" i="8" s="1"/>
  <c r="E83" i="8" s="1"/>
  <c r="F84" i="8" s="1"/>
  <c r="C85" i="3"/>
  <c r="U86" i="3"/>
  <c r="O86" i="3"/>
  <c r="B86" i="3"/>
  <c r="I86" i="3"/>
  <c r="A87" i="3"/>
  <c r="AA86" i="3"/>
  <c r="H84" i="8" l="1"/>
  <c r="G84" i="8" s="1"/>
  <c r="E84" i="8" s="1"/>
  <c r="F85" i="8" s="1"/>
  <c r="C86" i="3"/>
  <c r="U87" i="3"/>
  <c r="I87" i="3"/>
  <c r="O87" i="3"/>
  <c r="B87" i="3"/>
  <c r="AA87" i="3"/>
  <c r="A88" i="3"/>
  <c r="H85" i="8" l="1"/>
  <c r="G85" i="8" s="1"/>
  <c r="E85" i="8" s="1"/>
  <c r="F86" i="8" s="1"/>
  <c r="C87" i="3"/>
  <c r="I88" i="3"/>
  <c r="U88" i="3"/>
  <c r="B88" i="3"/>
  <c r="O88" i="3"/>
  <c r="AA88" i="3"/>
  <c r="A89" i="3"/>
  <c r="H86" i="8" l="1"/>
  <c r="G86" i="8" s="1"/>
  <c r="E86" i="8" s="1"/>
  <c r="F87" i="8" s="1"/>
  <c r="C88" i="3"/>
  <c r="U89" i="3"/>
  <c r="B89" i="3"/>
  <c r="I89" i="3"/>
  <c r="O89" i="3"/>
  <c r="AA89" i="3"/>
  <c r="A90" i="3"/>
  <c r="H87" i="8" l="1"/>
  <c r="G87" i="8" s="1"/>
  <c r="E87" i="8" s="1"/>
  <c r="F88" i="8" s="1"/>
  <c r="C89" i="3"/>
  <c r="O90" i="3"/>
  <c r="AA90" i="3"/>
  <c r="U90" i="3"/>
  <c r="I90" i="3"/>
  <c r="B90" i="3"/>
  <c r="A91" i="3"/>
  <c r="H88" i="8" l="1"/>
  <c r="G88" i="8" s="1"/>
  <c r="E88" i="8" s="1"/>
  <c r="F89" i="8" s="1"/>
  <c r="C90" i="3"/>
  <c r="I91" i="3"/>
  <c r="B91" i="3"/>
  <c r="U91" i="3"/>
  <c r="O91" i="3"/>
  <c r="AA91" i="3"/>
  <c r="A92" i="3"/>
  <c r="H89" i="8" l="1"/>
  <c r="G89" i="8" s="1"/>
  <c r="E89" i="8" s="1"/>
  <c r="F90" i="8" s="1"/>
  <c r="C91" i="3"/>
  <c r="B92" i="3"/>
  <c r="AA92" i="3"/>
  <c r="O92" i="3"/>
  <c r="I92" i="3"/>
  <c r="U92" i="3"/>
  <c r="A93" i="3"/>
  <c r="H90" i="8" l="1"/>
  <c r="G90" i="8" s="1"/>
  <c r="E90" i="8" s="1"/>
  <c r="H91" i="8" s="1"/>
  <c r="C92" i="3"/>
  <c r="I93" i="3"/>
  <c r="O93" i="3"/>
  <c r="AA93" i="3"/>
  <c r="U93" i="3"/>
  <c r="B93" i="3"/>
  <c r="A94" i="3"/>
  <c r="F91" i="8" l="1"/>
  <c r="G91" i="8" s="1"/>
  <c r="E91" i="8" s="1"/>
  <c r="F92" i="8" s="1"/>
  <c r="C93" i="3"/>
  <c r="U94" i="3"/>
  <c r="AA94" i="3"/>
  <c r="B94" i="3"/>
  <c r="I94" i="3"/>
  <c r="O94" i="3"/>
  <c r="A95" i="3"/>
  <c r="H92" i="8" l="1"/>
  <c r="G92" i="8" s="1"/>
  <c r="E92" i="8" s="1"/>
  <c r="H93" i="8" s="1"/>
  <c r="C94" i="3"/>
  <c r="A96" i="3"/>
  <c r="AA95" i="3"/>
  <c r="B95" i="3"/>
  <c r="U95" i="3"/>
  <c r="O95" i="3"/>
  <c r="I95" i="3"/>
  <c r="F93" i="8" l="1"/>
  <c r="G93" i="8" s="1"/>
  <c r="E93" i="8" s="1"/>
  <c r="C95" i="3"/>
  <c r="A97" i="3"/>
  <c r="B96" i="3"/>
  <c r="AA96" i="3"/>
  <c r="I96" i="3"/>
  <c r="U96" i="3"/>
  <c r="O96" i="3"/>
  <c r="H94" i="8" l="1"/>
  <c r="F94" i="8"/>
  <c r="C96" i="3"/>
  <c r="A98" i="3"/>
  <c r="O97" i="3"/>
  <c r="U97" i="3"/>
  <c r="AA97" i="3"/>
  <c r="B97" i="3"/>
  <c r="I97" i="3"/>
  <c r="G94" i="8" l="1"/>
  <c r="E94" i="8" s="1"/>
  <c r="F95" i="8" s="1"/>
  <c r="C97" i="3"/>
  <c r="I98" i="3"/>
  <c r="B98" i="3"/>
  <c r="A99" i="3"/>
  <c r="U98" i="3"/>
  <c r="O98" i="3"/>
  <c r="AA98" i="3"/>
  <c r="H95" i="8" l="1"/>
  <c r="G95" i="8" s="1"/>
  <c r="E95" i="8" s="1"/>
  <c r="H96" i="8" s="1"/>
  <c r="C98" i="3"/>
  <c r="U99" i="3"/>
  <c r="B99" i="3"/>
  <c r="O99" i="3"/>
  <c r="I99" i="3"/>
  <c r="AA99" i="3"/>
  <c r="A100" i="3"/>
  <c r="F96" i="8" l="1"/>
  <c r="G96" i="8" s="1"/>
  <c r="E96" i="8" s="1"/>
  <c r="C99" i="3"/>
  <c r="AA100" i="3"/>
  <c r="O100" i="3"/>
  <c r="I100" i="3"/>
  <c r="U100" i="3"/>
  <c r="B100" i="3"/>
  <c r="A101" i="3"/>
  <c r="F97" i="8" l="1"/>
  <c r="H97" i="8"/>
  <c r="C100" i="3"/>
  <c r="B101" i="3"/>
  <c r="AA101" i="3"/>
  <c r="O101" i="3"/>
  <c r="U101" i="3"/>
  <c r="I101" i="3"/>
  <c r="A102" i="3"/>
  <c r="G97" i="8" l="1"/>
  <c r="E97" i="8" s="1"/>
  <c r="F98" i="8" s="1"/>
  <c r="C101" i="3"/>
  <c r="O102" i="3"/>
  <c r="B102" i="3"/>
  <c r="U102" i="3"/>
  <c r="I102" i="3"/>
  <c r="AA102" i="3"/>
  <c r="A103" i="3"/>
  <c r="H98" i="8" l="1"/>
  <c r="G98" i="8" s="1"/>
  <c r="E98" i="8" s="1"/>
  <c r="F99" i="8" s="1"/>
  <c r="C102" i="3"/>
  <c r="B103" i="3"/>
  <c r="U103" i="3"/>
  <c r="O103" i="3"/>
  <c r="I103" i="3"/>
  <c r="AA103" i="3"/>
  <c r="A104" i="3"/>
  <c r="H99" i="8" l="1"/>
  <c r="G99" i="8" s="1"/>
  <c r="E99" i="8" s="1"/>
  <c r="H100" i="8" s="1"/>
  <c r="C103" i="3"/>
  <c r="I104" i="3"/>
  <c r="U104" i="3"/>
  <c r="B104" i="3"/>
  <c r="AA104" i="3"/>
  <c r="O104" i="3"/>
  <c r="A105" i="3"/>
  <c r="F100" i="8" l="1"/>
  <c r="G100" i="8" s="1"/>
  <c r="E100" i="8" s="1"/>
  <c r="H101" i="8" s="1"/>
  <c r="C104" i="3"/>
  <c r="O105" i="3"/>
  <c r="B105" i="3"/>
  <c r="AA105" i="3"/>
  <c r="I105" i="3"/>
  <c r="U105" i="3"/>
  <c r="A106" i="3"/>
  <c r="F101" i="8" l="1"/>
  <c r="G101" i="8" s="1"/>
  <c r="E101" i="8" s="1"/>
  <c r="F102" i="8" s="1"/>
  <c r="C105" i="3"/>
  <c r="A107" i="3"/>
  <c r="B106" i="3"/>
  <c r="U106" i="3"/>
  <c r="I106" i="3"/>
  <c r="O106" i="3"/>
  <c r="AA106" i="3"/>
  <c r="H102" i="8" l="1"/>
  <c r="G102" i="8" s="1"/>
  <c r="E102" i="8" s="1"/>
  <c r="F103" i="8" s="1"/>
  <c r="C106" i="3"/>
  <c r="A108" i="3"/>
  <c r="I107" i="3"/>
  <c r="B107" i="3"/>
  <c r="AA107" i="3"/>
  <c r="U107" i="3"/>
  <c r="O107" i="3"/>
  <c r="H103" i="8" l="1"/>
  <c r="G103" i="8" s="1"/>
  <c r="E103" i="8" s="1"/>
  <c r="H104" i="8" s="1"/>
  <c r="C107" i="3"/>
  <c r="A109" i="3"/>
  <c r="AA108" i="3"/>
  <c r="B108" i="3"/>
  <c r="I108" i="3"/>
  <c r="U108" i="3"/>
  <c r="O108" i="3"/>
  <c r="F104" i="8" l="1"/>
  <c r="G104" i="8" s="1"/>
  <c r="E104" i="8" s="1"/>
  <c r="H105" i="8" s="1"/>
  <c r="C108" i="3"/>
  <c r="U109" i="3"/>
  <c r="I109" i="3"/>
  <c r="O109" i="3"/>
  <c r="B109" i="3"/>
  <c r="AA109" i="3"/>
  <c r="A110" i="3"/>
  <c r="F105" i="8" l="1"/>
  <c r="G105" i="8" s="1"/>
  <c r="E105" i="8" s="1"/>
  <c r="H106" i="8" s="1"/>
  <c r="C109" i="3"/>
  <c r="U110" i="3"/>
  <c r="B110" i="3"/>
  <c r="I110" i="3"/>
  <c r="AA110" i="3"/>
  <c r="O110" i="3"/>
  <c r="A111" i="3"/>
  <c r="F106" i="8" l="1"/>
  <c r="G106" i="8" s="1"/>
  <c r="E106" i="8" s="1"/>
  <c r="C110" i="3"/>
  <c r="B111" i="3"/>
  <c r="U111" i="3"/>
  <c r="O111" i="3"/>
  <c r="I111" i="3"/>
  <c r="AA111" i="3"/>
  <c r="A112" i="3"/>
  <c r="F107" i="8" l="1"/>
  <c r="H107" i="8"/>
  <c r="C111" i="3"/>
  <c r="AA112" i="3"/>
  <c r="I112" i="3"/>
  <c r="U112" i="3"/>
  <c r="B112" i="3"/>
  <c r="O112" i="3"/>
  <c r="G107" i="8" l="1"/>
  <c r="E107" i="8" s="1"/>
  <c r="F108" i="8" s="1"/>
  <c r="C112" i="3"/>
  <c r="E14" i="7" l="1"/>
  <c r="H14" i="7" s="1"/>
  <c r="F14" i="7" s="1"/>
  <c r="I14" i="7" s="1"/>
  <c r="J14" i="7" s="1"/>
  <c r="F17" i="4"/>
  <c r="I17" i="4" s="1"/>
  <c r="G17" i="4" s="1"/>
  <c r="J17" i="4" s="1"/>
  <c r="H108" i="8"/>
  <c r="G108" i="8" s="1"/>
  <c r="E108" i="8" s="1"/>
  <c r="H109" i="8" s="1"/>
  <c r="E7" i="4" l="1"/>
  <c r="A5" i="3" s="1"/>
  <c r="I5" i="3" s="1"/>
  <c r="D1" i="3"/>
  <c r="F109" i="8"/>
  <c r="G109" i="8" s="1"/>
  <c r="E109" i="8" s="1"/>
  <c r="F110" i="8" s="1"/>
  <c r="I6" i="3" l="1"/>
  <c r="J6" i="3"/>
  <c r="K17" i="4"/>
  <c r="F4" i="3"/>
  <c r="C2" i="5"/>
  <c r="E11" i="5" s="1"/>
  <c r="H110" i="8"/>
  <c r="G110" i="8" s="1"/>
  <c r="E110" i="8" s="1"/>
  <c r="F111" i="8" s="1"/>
  <c r="J7" i="3" l="1"/>
  <c r="K7" i="3" s="1"/>
  <c r="D16" i="4" s="1"/>
  <c r="E16" i="4" s="1"/>
  <c r="D12" i="5"/>
  <c r="F2" i="5" s="1"/>
  <c r="F12" i="5"/>
  <c r="G14" i="4"/>
  <c r="F11" i="7"/>
  <c r="F6" i="7"/>
  <c r="G6" i="4"/>
  <c r="H111" i="8"/>
  <c r="G111" i="8" s="1"/>
  <c r="E111" i="8" s="1"/>
  <c r="F112" i="8" s="1"/>
  <c r="J11" i="3" l="1"/>
  <c r="E17" i="4" s="1"/>
  <c r="C4" i="5" s="1"/>
  <c r="C101" i="5" s="1"/>
  <c r="D13" i="7"/>
  <c r="K13" i="7" s="1"/>
  <c r="L13" i="7" s="1"/>
  <c r="L16" i="4"/>
  <c r="P16" i="4" s="1"/>
  <c r="C29" i="5"/>
  <c r="C32" i="5"/>
  <c r="C34" i="5"/>
  <c r="C33" i="5"/>
  <c r="C24" i="5"/>
  <c r="C28" i="5"/>
  <c r="C230" i="5"/>
  <c r="C162" i="5"/>
  <c r="C169" i="5"/>
  <c r="C43" i="5"/>
  <c r="C64" i="5"/>
  <c r="C297" i="5"/>
  <c r="C203" i="5"/>
  <c r="C246" i="5"/>
  <c r="C350" i="5"/>
  <c r="C217" i="5"/>
  <c r="C180" i="5"/>
  <c r="C66" i="5"/>
  <c r="C65" i="5"/>
  <c r="C58" i="5"/>
  <c r="C304" i="5"/>
  <c r="C261" i="5"/>
  <c r="C52" i="5"/>
  <c r="C54" i="5"/>
  <c r="C335" i="5"/>
  <c r="C90" i="5"/>
  <c r="C164" i="5"/>
  <c r="C157" i="5"/>
  <c r="C214" i="5"/>
  <c r="C150" i="5"/>
  <c r="C46" i="5"/>
  <c r="C198" i="5"/>
  <c r="C129" i="5"/>
  <c r="C290" i="5"/>
  <c r="C124" i="5"/>
  <c r="C73" i="5"/>
  <c r="C174" i="5"/>
  <c r="C44" i="5"/>
  <c r="C57" i="5"/>
  <c r="C67" i="5"/>
  <c r="C342" i="5"/>
  <c r="C348" i="5"/>
  <c r="C80" i="5"/>
  <c r="C39" i="5"/>
  <c r="C372" i="5"/>
  <c r="C202" i="5"/>
  <c r="C301" i="5"/>
  <c r="C369" i="5"/>
  <c r="C81" i="5"/>
  <c r="C358" i="5"/>
  <c r="C255" i="5"/>
  <c r="C334" i="5"/>
  <c r="C213" i="5"/>
  <c r="C110" i="5"/>
  <c r="C148" i="5"/>
  <c r="C60" i="5"/>
  <c r="C147" i="5"/>
  <c r="C41" i="5"/>
  <c r="C40" i="5"/>
  <c r="C251" i="5"/>
  <c r="C56" i="5"/>
  <c r="C341" i="5"/>
  <c r="C226" i="5"/>
  <c r="C199" i="5"/>
  <c r="C171" i="5"/>
  <c r="C50" i="5"/>
  <c r="C143" i="5"/>
  <c r="C138" i="5"/>
  <c r="C96" i="5"/>
  <c r="C308" i="5"/>
  <c r="C209" i="5"/>
  <c r="C339" i="5"/>
  <c r="C36" i="5"/>
  <c r="C279" i="5"/>
  <c r="C321" i="5"/>
  <c r="C237" i="5"/>
  <c r="C282" i="5"/>
  <c r="C338" i="5"/>
  <c r="C253" i="5"/>
  <c r="C293" i="5"/>
  <c r="C330" i="5"/>
  <c r="C368" i="5"/>
  <c r="C47" i="5"/>
  <c r="C188" i="5"/>
  <c r="C359" i="5"/>
  <c r="C122" i="5"/>
  <c r="C63" i="5"/>
  <c r="C95" i="5"/>
  <c r="C245" i="5"/>
  <c r="C189" i="5"/>
  <c r="C207" i="5"/>
  <c r="C366" i="5"/>
  <c r="C74" i="5"/>
  <c r="C161" i="5"/>
  <c r="C70" i="5"/>
  <c r="C303" i="5"/>
  <c r="C360" i="5"/>
  <c r="C289" i="5"/>
  <c r="C37" i="5"/>
  <c r="C305" i="5"/>
  <c r="C281" i="5"/>
  <c r="C156" i="5"/>
  <c r="C75" i="5"/>
  <c r="C131" i="5"/>
  <c r="C346" i="5"/>
  <c r="C49" i="5"/>
  <c r="C212" i="5"/>
  <c r="C294" i="5"/>
  <c r="C128" i="5"/>
  <c r="C249" i="5"/>
  <c r="C287" i="5"/>
  <c r="C140" i="5"/>
  <c r="C84" i="5"/>
  <c r="C146" i="5"/>
  <c r="C225" i="5"/>
  <c r="C222" i="5"/>
  <c r="C91" i="5"/>
  <c r="C48" i="5"/>
  <c r="C316" i="5"/>
  <c r="C175" i="5"/>
  <c r="C333" i="5"/>
  <c r="C45" i="5"/>
  <c r="C104" i="5"/>
  <c r="C152" i="5"/>
  <c r="C53" i="5"/>
  <c r="C55" i="5"/>
  <c r="C273" i="5"/>
  <c r="C351" i="5"/>
  <c r="C71" i="5"/>
  <c r="C192" i="5"/>
  <c r="C232" i="5"/>
  <c r="C312" i="5"/>
  <c r="C42" i="5"/>
  <c r="C107" i="5"/>
  <c r="C83" i="5"/>
  <c r="C149" i="5"/>
  <c r="C228" i="5"/>
  <c r="C326" i="5"/>
  <c r="C274" i="5"/>
  <c r="C344" i="5"/>
  <c r="C114" i="5"/>
  <c r="C324" i="5"/>
  <c r="C242" i="5"/>
  <c r="C285" i="5"/>
  <c r="C68" i="5"/>
  <c r="C311" i="5"/>
  <c r="C185" i="5"/>
  <c r="C170" i="5"/>
  <c r="C158" i="5"/>
  <c r="C133" i="5"/>
  <c r="C370" i="5"/>
  <c r="C317" i="5"/>
  <c r="C239" i="5"/>
  <c r="C302" i="5"/>
  <c r="C135" i="5"/>
  <c r="C322" i="5"/>
  <c r="C329" i="5"/>
  <c r="C183" i="5"/>
  <c r="C51" i="5"/>
  <c r="C194" i="5"/>
  <c r="C233" i="5"/>
  <c r="C69" i="5"/>
  <c r="C365" i="5"/>
  <c r="C108" i="5"/>
  <c r="C353" i="5"/>
  <c r="C121" i="5"/>
  <c r="C223" i="5"/>
  <c r="C284" i="5"/>
  <c r="C112" i="5"/>
  <c r="C306" i="5"/>
  <c r="C100" i="5"/>
  <c r="C216" i="5"/>
  <c r="C59" i="5"/>
  <c r="C265" i="5"/>
  <c r="C227" i="5"/>
  <c r="C127" i="5"/>
  <c r="C62" i="5"/>
  <c r="C271" i="5"/>
  <c r="C244" i="5"/>
  <c r="C109" i="5"/>
  <c r="C268" i="5"/>
  <c r="C283" i="5"/>
  <c r="C234" i="5"/>
  <c r="C163" i="5"/>
  <c r="C72" i="5"/>
  <c r="C362" i="5"/>
  <c r="C349" i="5"/>
  <c r="C231" i="5"/>
  <c r="C211" i="5"/>
  <c r="C355" i="5"/>
  <c r="C201" i="5"/>
  <c r="C343" i="5"/>
  <c r="C327" i="5"/>
  <c r="C276" i="5"/>
  <c r="C299" i="5"/>
  <c r="C352" i="5"/>
  <c r="C361" i="5"/>
  <c r="C184" i="5"/>
  <c r="C307" i="5"/>
  <c r="C354" i="5"/>
  <c r="C165" i="5"/>
  <c r="C266" i="5"/>
  <c r="C371" i="5"/>
  <c r="C258" i="5"/>
  <c r="C252" i="5"/>
  <c r="C144" i="5"/>
  <c r="C123" i="5"/>
  <c r="C89" i="5"/>
  <c r="C168" i="5"/>
  <c r="C208" i="5"/>
  <c r="C345" i="5"/>
  <c r="C195" i="5"/>
  <c r="C278" i="5"/>
  <c r="C111" i="5"/>
  <c r="C190" i="5"/>
  <c r="C295" i="5"/>
  <c r="C260" i="5"/>
  <c r="C267" i="5"/>
  <c r="C363" i="5"/>
  <c r="C98" i="5"/>
  <c r="C300" i="5"/>
  <c r="C125" i="5"/>
  <c r="C291" i="5"/>
  <c r="C314" i="5"/>
  <c r="C178" i="5"/>
  <c r="C257" i="5"/>
  <c r="C248" i="5"/>
  <c r="C119" i="5"/>
  <c r="C220" i="5"/>
  <c r="C357" i="5"/>
  <c r="C154" i="5"/>
  <c r="C132" i="5"/>
  <c r="C126" i="5"/>
  <c r="C166" i="5"/>
  <c r="C117" i="5"/>
  <c r="C167" i="5"/>
  <c r="C196" i="5"/>
  <c r="C115" i="5"/>
  <c r="C262" i="5"/>
  <c r="C155" i="5"/>
  <c r="C197" i="5"/>
  <c r="C310" i="5"/>
  <c r="C177" i="5"/>
  <c r="C134" i="5"/>
  <c r="C187" i="5"/>
  <c r="C78" i="5"/>
  <c r="C142" i="5"/>
  <c r="C130" i="5"/>
  <c r="C136" i="5"/>
  <c r="C186" i="5"/>
  <c r="C263" i="5"/>
  <c r="C336" i="5"/>
  <c r="C250" i="5"/>
  <c r="C120" i="5"/>
  <c r="C105" i="5"/>
  <c r="C200" i="5"/>
  <c r="C224" i="5"/>
  <c r="C116" i="5"/>
  <c r="C238" i="5"/>
  <c r="C153" i="5"/>
  <c r="C296" i="5"/>
  <c r="C272" i="5"/>
  <c r="C236" i="5"/>
  <c r="C93" i="5"/>
  <c r="C259" i="5"/>
  <c r="C364" i="5"/>
  <c r="C320" i="5"/>
  <c r="C332" i="5"/>
  <c r="C141" i="5"/>
  <c r="C118" i="5"/>
  <c r="C215" i="5"/>
  <c r="C286" i="5"/>
  <c r="C280" i="5"/>
  <c r="C173" i="5"/>
  <c r="C85" i="5"/>
  <c r="C181" i="5"/>
  <c r="C269" i="5"/>
  <c r="C87" i="5"/>
  <c r="C337" i="5"/>
  <c r="C191" i="5"/>
  <c r="C206" i="5"/>
  <c r="C137" i="5"/>
  <c r="C264" i="5"/>
  <c r="C256" i="5"/>
  <c r="C204" i="5"/>
  <c r="C77" i="5"/>
  <c r="C243" i="5"/>
  <c r="C241" i="5"/>
  <c r="C313" i="5"/>
  <c r="C340" i="5"/>
  <c r="C94" i="5"/>
  <c r="C367" i="5"/>
  <c r="C102" i="5"/>
  <c r="C309" i="5"/>
  <c r="C103" i="5"/>
  <c r="C221" i="5"/>
  <c r="C145" i="5"/>
  <c r="C229" i="5"/>
  <c r="C219" i="5"/>
  <c r="C99" i="5"/>
  <c r="C210" i="5"/>
  <c r="C325" i="5"/>
  <c r="C315" i="5"/>
  <c r="C298" i="5"/>
  <c r="C179" i="5"/>
  <c r="C182" i="5"/>
  <c r="C240" i="5"/>
  <c r="C205" i="5"/>
  <c r="C218" i="5"/>
  <c r="C247" i="5"/>
  <c r="C176" i="5"/>
  <c r="C92" i="5"/>
  <c r="C323" i="5"/>
  <c r="C356" i="5"/>
  <c r="C160" i="5"/>
  <c r="C97" i="5"/>
  <c r="C235" i="5"/>
  <c r="C331" i="5"/>
  <c r="C25" i="5"/>
  <c r="C26" i="5"/>
  <c r="C31" i="5"/>
  <c r="C113" i="5"/>
  <c r="C319" i="5"/>
  <c r="C76" i="5"/>
  <c r="C35" i="5"/>
  <c r="C277" i="5"/>
  <c r="C82" i="5"/>
  <c r="C61" i="5"/>
  <c r="C275" i="5"/>
  <c r="C106" i="5"/>
  <c r="C88" i="5"/>
  <c r="C292" i="5"/>
  <c r="C288" i="5"/>
  <c r="C318" i="5"/>
  <c r="C159" i="5"/>
  <c r="C151" i="5"/>
  <c r="C139" i="5"/>
  <c r="C193" i="5"/>
  <c r="C270" i="5"/>
  <c r="C86" i="5"/>
  <c r="C347" i="5"/>
  <c r="C172" i="5"/>
  <c r="C27" i="5"/>
  <c r="C79" i="5"/>
  <c r="C30" i="5"/>
  <c r="C38" i="5"/>
  <c r="C328" i="5"/>
  <c r="C254" i="5"/>
  <c r="M16" i="4"/>
  <c r="G12" i="5"/>
  <c r="E12" i="5" s="1"/>
  <c r="L17" i="4"/>
  <c r="N17" i="4" s="1"/>
  <c r="K14" i="7"/>
  <c r="H112" i="8"/>
  <c r="G112" i="8" s="1"/>
  <c r="E112" i="8" s="1"/>
  <c r="F113" i="8" s="1"/>
  <c r="F13" i="5" l="1"/>
  <c r="D13" i="5"/>
  <c r="H113" i="8"/>
  <c r="G113" i="8" s="1"/>
  <c r="E113" i="8" s="1"/>
  <c r="F114" i="8" s="1"/>
  <c r="G13" i="5" l="1"/>
  <c r="E13" i="5" s="1"/>
  <c r="F14" i="5" s="1"/>
  <c r="H114" i="8"/>
  <c r="G114" i="8" s="1"/>
  <c r="E114" i="8" s="1"/>
  <c r="F115" i="8" s="1"/>
  <c r="D14" i="5" l="1"/>
  <c r="G14" i="5" s="1"/>
  <c r="E14" i="5" s="1"/>
  <c r="F15" i="5" s="1"/>
  <c r="H115" i="8"/>
  <c r="G115" i="8" s="1"/>
  <c r="E115" i="8" s="1"/>
  <c r="F116" i="8" s="1"/>
  <c r="D15" i="5" l="1"/>
  <c r="G15" i="5" s="1"/>
  <c r="E15" i="5" s="1"/>
  <c r="F16" i="5" s="1"/>
  <c r="H116" i="8"/>
  <c r="G116" i="8" s="1"/>
  <c r="E116" i="8" s="1"/>
  <c r="F117" i="8" s="1"/>
  <c r="D16" i="5" l="1"/>
  <c r="G16" i="5" s="1"/>
  <c r="E16" i="5" s="1"/>
  <c r="F17" i="5" s="1"/>
  <c r="H117" i="8"/>
  <c r="G117" i="8" s="1"/>
  <c r="E117" i="8" s="1"/>
  <c r="H118" i="8" s="1"/>
  <c r="D17" i="5" l="1"/>
  <c r="G17" i="5" s="1"/>
  <c r="E17" i="5" s="1"/>
  <c r="D18" i="5" s="1"/>
  <c r="F118" i="8"/>
  <c r="G118" i="8" s="1"/>
  <c r="E118" i="8" s="1"/>
  <c r="F119" i="8" s="1"/>
  <c r="F18" i="5" l="1"/>
  <c r="G18" i="5" s="1"/>
  <c r="E18" i="5" s="1"/>
  <c r="F19" i="5" s="1"/>
  <c r="H119" i="8"/>
  <c r="G119" i="8" s="1"/>
  <c r="E119" i="8" s="1"/>
  <c r="F120" i="8" s="1"/>
  <c r="D19" i="5" l="1"/>
  <c r="G19" i="5" s="1"/>
  <c r="E19" i="5" s="1"/>
  <c r="F20" i="5" s="1"/>
  <c r="H120" i="8"/>
  <c r="G120" i="8" s="1"/>
  <c r="E120" i="8" s="1"/>
  <c r="F121" i="8" s="1"/>
  <c r="D20" i="5" l="1"/>
  <c r="G20" i="5" s="1"/>
  <c r="E20" i="5" s="1"/>
  <c r="F21" i="5" s="1"/>
  <c r="H121" i="8"/>
  <c r="G121" i="8" s="1"/>
  <c r="E121" i="8" s="1"/>
  <c r="F122" i="8" s="1"/>
  <c r="D21" i="5" l="1"/>
  <c r="G21" i="5" s="1"/>
  <c r="E21" i="5" s="1"/>
  <c r="F22" i="5" s="1"/>
  <c r="H122" i="8"/>
  <c r="G122" i="8" s="1"/>
  <c r="E122" i="8" s="1"/>
  <c r="H123" i="8" s="1"/>
  <c r="F123" i="8" l="1"/>
  <c r="G123" i="8" s="1"/>
  <c r="E123" i="8" s="1"/>
  <c r="D22" i="5"/>
  <c r="G22" i="5" s="1"/>
  <c r="E22" i="5" s="1"/>
  <c r="F23" i="5" s="1"/>
  <c r="H124" i="8" l="1"/>
  <c r="F124" i="8"/>
  <c r="D23" i="5"/>
  <c r="G23" i="5" s="1"/>
  <c r="E23" i="5" s="1"/>
  <c r="G124" i="8" l="1"/>
  <c r="E124" i="8" s="1"/>
  <c r="H125" i="8" s="1"/>
  <c r="F24" i="5"/>
  <c r="D24" i="5"/>
  <c r="F125" i="8" l="1"/>
  <c r="G125" i="8" s="1"/>
  <c r="E125" i="8" s="1"/>
  <c r="F126" i="8" s="1"/>
  <c r="G24" i="5"/>
  <c r="E24" i="5" s="1"/>
  <c r="D25" i="5" s="1"/>
  <c r="H126" i="8" l="1"/>
  <c r="G126" i="8" s="1"/>
  <c r="E126" i="8" s="1"/>
  <c r="F25" i="5"/>
  <c r="G25" i="5" s="1"/>
  <c r="E25" i="5" s="1"/>
  <c r="F26" i="5" s="1"/>
  <c r="H127" i="8" l="1"/>
  <c r="F127" i="8"/>
  <c r="D26" i="5"/>
  <c r="G26" i="5" s="1"/>
  <c r="E26" i="5" s="1"/>
  <c r="G127" i="8" l="1"/>
  <c r="E127" i="8" s="1"/>
  <c r="D27" i="5"/>
  <c r="F27" i="5"/>
  <c r="H128" i="8" l="1"/>
  <c r="F128" i="8"/>
  <c r="G27" i="5"/>
  <c r="E27" i="5" s="1"/>
  <c r="G128" i="8" l="1"/>
  <c r="E128" i="8" s="1"/>
  <c r="F129" i="8" s="1"/>
  <c r="F28" i="5"/>
  <c r="D28" i="5"/>
  <c r="H129" i="8" l="1"/>
  <c r="G129" i="8" s="1"/>
  <c r="E129" i="8" s="1"/>
  <c r="F130" i="8" s="1"/>
  <c r="G28" i="5"/>
  <c r="E28" i="5" s="1"/>
  <c r="F29" i="5" s="1"/>
  <c r="H130" i="8" l="1"/>
  <c r="G130" i="8" s="1"/>
  <c r="E130" i="8" s="1"/>
  <c r="H131" i="8" s="1"/>
  <c r="D29" i="5"/>
  <c r="G29" i="5" s="1"/>
  <c r="E29" i="5" s="1"/>
  <c r="D30" i="5" s="1"/>
  <c r="F131" i="8" l="1"/>
  <c r="G131" i="8" s="1"/>
  <c r="E131" i="8" s="1"/>
  <c r="H132" i="8" s="1"/>
  <c r="F30" i="5"/>
  <c r="G30" i="5" s="1"/>
  <c r="E30" i="5" s="1"/>
  <c r="F132" i="8" l="1"/>
  <c r="G132" i="8" s="1"/>
  <c r="E132" i="8" s="1"/>
  <c r="F31" i="5"/>
  <c r="D31" i="5"/>
  <c r="F133" i="8" l="1"/>
  <c r="H133" i="8"/>
  <c r="G31" i="5"/>
  <c r="E31" i="5" s="1"/>
  <c r="D32" i="5" s="1"/>
  <c r="G133" i="8" l="1"/>
  <c r="E133" i="8" s="1"/>
  <c r="F134" i="8" s="1"/>
  <c r="F32" i="5"/>
  <c r="G32" i="5" s="1"/>
  <c r="E32" i="5" s="1"/>
  <c r="H134" i="8" l="1"/>
  <c r="G134" i="8" s="1"/>
  <c r="E134" i="8" s="1"/>
  <c r="F135" i="8" s="1"/>
  <c r="F33" i="5"/>
  <c r="D33" i="5"/>
  <c r="H135" i="8" l="1"/>
  <c r="G135" i="8" s="1"/>
  <c r="E135" i="8" s="1"/>
  <c r="H136" i="8" s="1"/>
  <c r="G33" i="5"/>
  <c r="E33" i="5" s="1"/>
  <c r="D34" i="5" s="1"/>
  <c r="F136" i="8" l="1"/>
  <c r="G136" i="8" s="1"/>
  <c r="E136" i="8" s="1"/>
  <c r="F34" i="5"/>
  <c r="G34" i="5" s="1"/>
  <c r="E34" i="5" s="1"/>
  <c r="F137" i="8" l="1"/>
  <c r="H137" i="8"/>
  <c r="F35" i="5"/>
  <c r="D35" i="5"/>
  <c r="G137" i="8" l="1"/>
  <c r="E137" i="8" s="1"/>
  <c r="F138" i="8" s="1"/>
  <c r="H138" i="8"/>
  <c r="G35" i="5"/>
  <c r="E35" i="5" s="1"/>
  <c r="F36" i="5" s="1"/>
  <c r="G138" i="8" l="1"/>
  <c r="E138" i="8" s="1"/>
  <c r="H139" i="8" s="1"/>
  <c r="D36" i="5"/>
  <c r="G36" i="5" s="1"/>
  <c r="E36" i="5" s="1"/>
  <c r="F37" i="5" s="1"/>
  <c r="F139" i="8" l="1"/>
  <c r="G139" i="8" s="1"/>
  <c r="E139" i="8" s="1"/>
  <c r="D37" i="5"/>
  <c r="G37" i="5" s="1"/>
  <c r="E37" i="5" s="1"/>
  <c r="F38" i="5" s="1"/>
  <c r="F140" i="8" l="1"/>
  <c r="H140" i="8"/>
  <c r="D38" i="5"/>
  <c r="G38" i="5" s="1"/>
  <c r="E38" i="5" s="1"/>
  <c r="F39" i="5" s="1"/>
  <c r="G140" i="8" l="1"/>
  <c r="E140" i="8" s="1"/>
  <c r="D39" i="5"/>
  <c r="G39" i="5" s="1"/>
  <c r="E39" i="5" s="1"/>
  <c r="F40" i="5" s="1"/>
  <c r="F141" i="8" l="1"/>
  <c r="H141" i="8"/>
  <c r="D40" i="5"/>
  <c r="G40" i="5" s="1"/>
  <c r="E40" i="5" s="1"/>
  <c r="D41" i="5" s="1"/>
  <c r="G141" i="8" l="1"/>
  <c r="E141" i="8" s="1"/>
  <c r="H142" i="8" s="1"/>
  <c r="F41" i="5"/>
  <c r="G41" i="5" s="1"/>
  <c r="E41" i="5" s="1"/>
  <c r="F142" i="8" l="1"/>
  <c r="G142" i="8" s="1"/>
  <c r="E142" i="8" s="1"/>
  <c r="D42" i="5"/>
  <c r="F42" i="5"/>
  <c r="H143" i="8" l="1"/>
  <c r="F143" i="8"/>
  <c r="G42" i="5"/>
  <c r="E42" i="5" s="1"/>
  <c r="G143" i="8" l="1"/>
  <c r="E143" i="8" s="1"/>
  <c r="H144" i="8" s="1"/>
  <c r="D43" i="5"/>
  <c r="F43" i="5"/>
  <c r="F144" i="8" l="1"/>
  <c r="G144" i="8" s="1"/>
  <c r="E144" i="8" s="1"/>
  <c r="G43" i="5"/>
  <c r="E43" i="5" s="1"/>
  <c r="F145" i="8" l="1"/>
  <c r="H145" i="8"/>
  <c r="F44" i="5"/>
  <c r="D44" i="5"/>
  <c r="G145" i="8" l="1"/>
  <c r="E145" i="8" s="1"/>
  <c r="H146" i="8" s="1"/>
  <c r="G44" i="5"/>
  <c r="E44" i="5" s="1"/>
  <c r="F45" i="5" s="1"/>
  <c r="F146" i="8" l="1"/>
  <c r="G146" i="8" s="1"/>
  <c r="E146" i="8" s="1"/>
  <c r="D45" i="5"/>
  <c r="G45" i="5" s="1"/>
  <c r="E45" i="5" s="1"/>
  <c r="F46" i="5" s="1"/>
  <c r="F147" i="8" l="1"/>
  <c r="H147" i="8"/>
  <c r="D46" i="5"/>
  <c r="G46" i="5" s="1"/>
  <c r="E46" i="5" s="1"/>
  <c r="F47" i="5" s="1"/>
  <c r="G147" i="8" l="1"/>
  <c r="E147" i="8" s="1"/>
  <c r="H148" i="8" s="1"/>
  <c r="D47" i="5"/>
  <c r="G47" i="5" s="1"/>
  <c r="E47" i="5" s="1"/>
  <c r="F48" i="5" s="1"/>
  <c r="F148" i="8" l="1"/>
  <c r="G148" i="8" s="1"/>
  <c r="E148" i="8" s="1"/>
  <c r="F149" i="8" s="1"/>
  <c r="D48" i="5"/>
  <c r="G48" i="5" s="1"/>
  <c r="E48" i="5" s="1"/>
  <c r="H149" i="8" l="1"/>
  <c r="G149" i="8" s="1"/>
  <c r="E149" i="8" s="1"/>
  <c r="D49" i="5"/>
  <c r="F49" i="5"/>
  <c r="H150" i="8" l="1"/>
  <c r="F150" i="8"/>
  <c r="G49" i="5"/>
  <c r="E49" i="5" s="1"/>
  <c r="F50" i="5" s="1"/>
  <c r="G150" i="8" l="1"/>
  <c r="E150" i="8" s="1"/>
  <c r="H151" i="8" s="1"/>
  <c r="D50" i="5"/>
  <c r="G50" i="5" s="1"/>
  <c r="E50" i="5" s="1"/>
  <c r="F51" i="5" s="1"/>
  <c r="F151" i="8" l="1"/>
  <c r="G151" i="8" s="1"/>
  <c r="E151" i="8" s="1"/>
  <c r="F152" i="8" s="1"/>
  <c r="D51" i="5"/>
  <c r="G51" i="5" s="1"/>
  <c r="E51" i="5" s="1"/>
  <c r="H152" i="8" l="1"/>
  <c r="G152" i="8" s="1"/>
  <c r="E152" i="8" s="1"/>
  <c r="F52" i="5"/>
  <c r="D52" i="5"/>
  <c r="H153" i="8" l="1"/>
  <c r="F153" i="8"/>
  <c r="G52" i="5"/>
  <c r="E52" i="5" s="1"/>
  <c r="D53" i="5" s="1"/>
  <c r="G153" i="8" l="1"/>
  <c r="E153" i="8" s="1"/>
  <c r="H154" i="8" s="1"/>
  <c r="F53" i="5"/>
  <c r="G53" i="5" s="1"/>
  <c r="E53" i="5" s="1"/>
  <c r="F154" i="8" l="1"/>
  <c r="G154" i="8" s="1"/>
  <c r="E154" i="8" s="1"/>
  <c r="H155" i="8" s="1"/>
  <c r="D54" i="5"/>
  <c r="F54" i="5"/>
  <c r="F155" i="8" l="1"/>
  <c r="G155" i="8" s="1"/>
  <c r="E155" i="8" s="1"/>
  <c r="F156" i="8" s="1"/>
  <c r="G54" i="5"/>
  <c r="E54" i="5" s="1"/>
  <c r="F55" i="5" s="1"/>
  <c r="H156" i="8" l="1"/>
  <c r="G156" i="8" s="1"/>
  <c r="E156" i="8" s="1"/>
  <c r="F157" i="8" s="1"/>
  <c r="D55" i="5"/>
  <c r="G55" i="5" s="1"/>
  <c r="E55" i="5" s="1"/>
  <c r="D56" i="5" s="1"/>
  <c r="H157" i="8" l="1"/>
  <c r="G157" i="8" s="1"/>
  <c r="E157" i="8" s="1"/>
  <c r="F158" i="8" s="1"/>
  <c r="F56" i="5"/>
  <c r="G56" i="5" s="1"/>
  <c r="E56" i="5" s="1"/>
  <c r="F57" i="5" s="1"/>
  <c r="H158" i="8" l="1"/>
  <c r="G158" i="8" s="1"/>
  <c r="E158" i="8" s="1"/>
  <c r="H159" i="8" s="1"/>
  <c r="D57" i="5"/>
  <c r="G57" i="5" s="1"/>
  <c r="E57" i="5" s="1"/>
  <c r="D58" i="5" s="1"/>
  <c r="F159" i="8" l="1"/>
  <c r="G159" i="8" s="1"/>
  <c r="E159" i="8" s="1"/>
  <c r="F160" i="8" s="1"/>
  <c r="F58" i="5"/>
  <c r="G58" i="5" s="1"/>
  <c r="E58" i="5" s="1"/>
  <c r="H160" i="8" l="1"/>
  <c r="G160" i="8" s="1"/>
  <c r="E160" i="8" s="1"/>
  <c r="H161" i="8" s="1"/>
  <c r="F59" i="5"/>
  <c r="D59" i="5"/>
  <c r="F161" i="8" l="1"/>
  <c r="G161" i="8" s="1"/>
  <c r="E161" i="8" s="1"/>
  <c r="F162" i="8" s="1"/>
  <c r="G59" i="5"/>
  <c r="E59" i="5" s="1"/>
  <c r="F60" i="5" s="1"/>
  <c r="H162" i="8" l="1"/>
  <c r="G162" i="8" s="1"/>
  <c r="E162" i="8" s="1"/>
  <c r="F163" i="8" s="1"/>
  <c r="D60" i="5"/>
  <c r="G60" i="5" s="1"/>
  <c r="E60" i="5" s="1"/>
  <c r="D61" i="5" s="1"/>
  <c r="H163" i="8" l="1"/>
  <c r="G163" i="8" s="1"/>
  <c r="E163" i="8" s="1"/>
  <c r="F61" i="5"/>
  <c r="G61" i="5" s="1"/>
  <c r="E61" i="5" s="1"/>
  <c r="D62" i="5" s="1"/>
  <c r="H164" i="8" l="1"/>
  <c r="F164" i="8"/>
  <c r="F62" i="5"/>
  <c r="G62" i="5" s="1"/>
  <c r="E62" i="5" s="1"/>
  <c r="G164" i="8" l="1"/>
  <c r="E164" i="8" s="1"/>
  <c r="F63" i="5"/>
  <c r="D63" i="5"/>
  <c r="H165" i="8" l="1"/>
  <c r="F165" i="8"/>
  <c r="G63" i="5"/>
  <c r="E63" i="5" s="1"/>
  <c r="G165" i="8" l="1"/>
  <c r="E165" i="8" s="1"/>
  <c r="D64" i="5"/>
  <c r="F64" i="5"/>
  <c r="H166" i="8" l="1"/>
  <c r="F166" i="8"/>
  <c r="G64" i="5"/>
  <c r="E64" i="5" s="1"/>
  <c r="G166" i="8" l="1"/>
  <c r="E166" i="8" s="1"/>
  <c r="D65" i="5"/>
  <c r="F65" i="5"/>
  <c r="H167" i="8" l="1"/>
  <c r="F167" i="8"/>
  <c r="G65" i="5"/>
  <c r="E65" i="5" s="1"/>
  <c r="G167" i="8" l="1"/>
  <c r="E167" i="8" s="1"/>
  <c r="F168" i="8" s="1"/>
  <c r="F66" i="5"/>
  <c r="D66" i="5"/>
  <c r="H168" i="8" l="1"/>
  <c r="G168" i="8" s="1"/>
  <c r="E168" i="8" s="1"/>
  <c r="G66" i="5"/>
  <c r="E66" i="5" s="1"/>
  <c r="D67" i="5" s="1"/>
  <c r="H169" i="8" l="1"/>
  <c r="F169" i="8"/>
  <c r="F67" i="5"/>
  <c r="G67" i="5" s="1"/>
  <c r="E67" i="5" s="1"/>
  <c r="G169" i="8" l="1"/>
  <c r="E169" i="8" s="1"/>
  <c r="H170" i="8" s="1"/>
  <c r="D68" i="5"/>
  <c r="F68" i="5"/>
  <c r="F170" i="8" l="1"/>
  <c r="G170" i="8" s="1"/>
  <c r="E170" i="8" s="1"/>
  <c r="G68" i="5"/>
  <c r="E68" i="5" s="1"/>
  <c r="F171" i="8" l="1"/>
  <c r="H171" i="8"/>
  <c r="D69" i="5"/>
  <c r="F69" i="5"/>
  <c r="G171" i="8" l="1"/>
  <c r="E171" i="8" s="1"/>
  <c r="H172" i="8" s="1"/>
  <c r="G69" i="5"/>
  <c r="E69" i="5" s="1"/>
  <c r="D70" i="5" s="1"/>
  <c r="F172" i="8" l="1"/>
  <c r="G172" i="8" s="1"/>
  <c r="E172" i="8" s="1"/>
  <c r="F70" i="5"/>
  <c r="G70" i="5" s="1"/>
  <c r="E70" i="5" s="1"/>
  <c r="H173" i="8" l="1"/>
  <c r="F173" i="8"/>
  <c r="D71" i="5"/>
  <c r="F71" i="5"/>
  <c r="G173" i="8" l="1"/>
  <c r="E173" i="8" s="1"/>
  <c r="F174" i="8" s="1"/>
  <c r="G71" i="5"/>
  <c r="E71" i="5" s="1"/>
  <c r="D72" i="5" s="1"/>
  <c r="H174" i="8" l="1"/>
  <c r="G174" i="8" s="1"/>
  <c r="E174" i="8" s="1"/>
  <c r="F72" i="5"/>
  <c r="G72" i="5" s="1"/>
  <c r="E72" i="5" s="1"/>
  <c r="F3" i="5"/>
  <c r="H175" i="8" l="1"/>
  <c r="F175" i="8"/>
  <c r="M17" i="4"/>
  <c r="O17" i="4" s="1"/>
  <c r="F73" i="5"/>
  <c r="D73" i="5"/>
  <c r="G175" i="8" l="1"/>
  <c r="E175" i="8" s="1"/>
  <c r="G73" i="5"/>
  <c r="E73" i="5" s="1"/>
  <c r="F74" i="5" s="1"/>
  <c r="H176" i="8" l="1"/>
  <c r="F176" i="8"/>
  <c r="D74" i="5"/>
  <c r="G74" i="5" s="1"/>
  <c r="E74" i="5" s="1"/>
  <c r="D75" i="5" s="1"/>
  <c r="G176" i="8" l="1"/>
  <c r="E176" i="8" s="1"/>
  <c r="F75" i="5"/>
  <c r="G75" i="5" s="1"/>
  <c r="E75" i="5" s="1"/>
  <c r="H177" i="8" l="1"/>
  <c r="F177" i="8"/>
  <c r="D76" i="5"/>
  <c r="F76" i="5"/>
  <c r="G177" i="8" l="1"/>
  <c r="E177" i="8" s="1"/>
  <c r="F178" i="8" s="1"/>
  <c r="G76" i="5"/>
  <c r="E76" i="5" s="1"/>
  <c r="H178" i="8" l="1"/>
  <c r="G178" i="8" s="1"/>
  <c r="E178" i="8" s="1"/>
  <c r="F179" i="8" s="1"/>
  <c r="F77" i="5"/>
  <c r="D77" i="5"/>
  <c r="H179" i="8" l="1"/>
  <c r="G179" i="8" s="1"/>
  <c r="E179" i="8" s="1"/>
  <c r="G77" i="5"/>
  <c r="E77" i="5" s="1"/>
  <c r="D78" i="5" s="1"/>
  <c r="H180" i="8" l="1"/>
  <c r="F180" i="8"/>
  <c r="F78" i="5"/>
  <c r="G78" i="5" s="1"/>
  <c r="E78" i="5" s="1"/>
  <c r="G180" i="8" l="1"/>
  <c r="E180" i="8" s="1"/>
  <c r="F181" i="8" s="1"/>
  <c r="F79" i="5"/>
  <c r="D79" i="5"/>
  <c r="H181" i="8" l="1"/>
  <c r="G181" i="8" s="1"/>
  <c r="E181" i="8" s="1"/>
  <c r="G79" i="5"/>
  <c r="E79" i="5" s="1"/>
  <c r="F80" i="5" s="1"/>
  <c r="H182" i="8" l="1"/>
  <c r="F182" i="8"/>
  <c r="D80" i="5"/>
  <c r="G80" i="5" s="1"/>
  <c r="E80" i="5" s="1"/>
  <c r="F81" i="5" s="1"/>
  <c r="G182" i="8" l="1"/>
  <c r="E182" i="8" s="1"/>
  <c r="D81" i="5"/>
  <c r="G81" i="5" s="1"/>
  <c r="E81" i="5" s="1"/>
  <c r="D82" i="5" s="1"/>
  <c r="H183" i="8" l="1"/>
  <c r="F183" i="8"/>
  <c r="F82" i="5"/>
  <c r="G82" i="5" s="1"/>
  <c r="E82" i="5" s="1"/>
  <c r="G183" i="8" l="1"/>
  <c r="E183" i="8" s="1"/>
  <c r="F83" i="5"/>
  <c r="D83" i="5"/>
  <c r="H184" i="8" l="1"/>
  <c r="F184" i="8"/>
  <c r="G83" i="5"/>
  <c r="E83" i="5" s="1"/>
  <c r="F84" i="5" s="1"/>
  <c r="G184" i="8" l="1"/>
  <c r="E184" i="8" s="1"/>
  <c r="D84" i="5"/>
  <c r="G84" i="5" s="1"/>
  <c r="E84" i="5" s="1"/>
  <c r="F85" i="5" s="1"/>
  <c r="H185" i="8" l="1"/>
  <c r="F185" i="8"/>
  <c r="D85" i="5"/>
  <c r="G85" i="5" s="1"/>
  <c r="E85" i="5" s="1"/>
  <c r="F86" i="5" s="1"/>
  <c r="G185" i="8" l="1"/>
  <c r="E185" i="8" s="1"/>
  <c r="H186" i="8" s="1"/>
  <c r="D86" i="5"/>
  <c r="G86" i="5" s="1"/>
  <c r="E86" i="5" s="1"/>
  <c r="D87" i="5" s="1"/>
  <c r="F186" i="8" l="1"/>
  <c r="G186" i="8" s="1"/>
  <c r="E186" i="8" s="1"/>
  <c r="F187" i="8" s="1"/>
  <c r="F87" i="5"/>
  <c r="G87" i="5" s="1"/>
  <c r="E87" i="5" s="1"/>
  <c r="H187" i="8" l="1"/>
  <c r="G187" i="8" s="1"/>
  <c r="E187" i="8" s="1"/>
  <c r="F88" i="5"/>
  <c r="D88" i="5"/>
  <c r="H188" i="8" l="1"/>
  <c r="F188" i="8"/>
  <c r="G88" i="5"/>
  <c r="E88" i="5" s="1"/>
  <c r="D89" i="5" s="1"/>
  <c r="G188" i="8" l="1"/>
  <c r="E188" i="8" s="1"/>
  <c r="F89" i="5"/>
  <c r="G89" i="5" s="1"/>
  <c r="E89" i="5" s="1"/>
  <c r="H189" i="8" l="1"/>
  <c r="F189" i="8"/>
  <c r="F90" i="5"/>
  <c r="D90" i="5"/>
  <c r="G189" i="8" l="1"/>
  <c r="E189" i="8" s="1"/>
  <c r="H190" i="8" s="1"/>
  <c r="G90" i="5"/>
  <c r="E90" i="5" s="1"/>
  <c r="F91" i="5" s="1"/>
  <c r="F190" i="8" l="1"/>
  <c r="G190" i="8" s="1"/>
  <c r="E190" i="8" s="1"/>
  <c r="D91" i="5"/>
  <c r="G91" i="5" s="1"/>
  <c r="E91" i="5" s="1"/>
  <c r="F92" i="5" s="1"/>
  <c r="H191" i="8" l="1"/>
  <c r="F191" i="8"/>
  <c r="D92" i="5"/>
  <c r="G92" i="5" s="1"/>
  <c r="E92" i="5" s="1"/>
  <c r="F93" i="5" s="1"/>
  <c r="G191" i="8" l="1"/>
  <c r="E191" i="8" s="1"/>
  <c r="F192" i="8" s="1"/>
  <c r="D93" i="5"/>
  <c r="G93" i="5" s="1"/>
  <c r="E93" i="5" s="1"/>
  <c r="H192" i="8" l="1"/>
  <c r="G192" i="8" s="1"/>
  <c r="E192" i="8" s="1"/>
  <c r="F193" i="8" s="1"/>
  <c r="F94" i="5"/>
  <c r="D94" i="5"/>
  <c r="H193" i="8" l="1"/>
  <c r="G193" i="8" s="1"/>
  <c r="E193" i="8" s="1"/>
  <c r="F194" i="8" s="1"/>
  <c r="G94" i="5"/>
  <c r="E94" i="5" s="1"/>
  <c r="F95" i="5" s="1"/>
  <c r="H194" i="8" l="1"/>
  <c r="G194" i="8" s="1"/>
  <c r="E194" i="8" s="1"/>
  <c r="H195" i="8" s="1"/>
  <c r="D95" i="5"/>
  <c r="G95" i="5" s="1"/>
  <c r="E95" i="5" s="1"/>
  <c r="F195" i="8" l="1"/>
  <c r="G195" i="8" s="1"/>
  <c r="E195" i="8" s="1"/>
  <c r="F196" i="8" s="1"/>
  <c r="F96" i="5"/>
  <c r="D96" i="5"/>
  <c r="H196" i="8" l="1"/>
  <c r="G196" i="8" s="1"/>
  <c r="E196" i="8" s="1"/>
  <c r="G96" i="5"/>
  <c r="E96" i="5" s="1"/>
  <c r="H197" i="8" l="1"/>
  <c r="F197" i="8"/>
  <c r="D97" i="5"/>
  <c r="F97" i="5"/>
  <c r="G197" i="8" l="1"/>
  <c r="E197" i="8" s="1"/>
  <c r="H198" i="8" s="1"/>
  <c r="G97" i="5"/>
  <c r="E97" i="5" s="1"/>
  <c r="F98" i="5" s="1"/>
  <c r="F198" i="8" l="1"/>
  <c r="G198" i="8" s="1"/>
  <c r="E198" i="8" s="1"/>
  <c r="H199" i="8" s="1"/>
  <c r="D98" i="5"/>
  <c r="G98" i="5" s="1"/>
  <c r="E98" i="5" s="1"/>
  <c r="F99" i="5" s="1"/>
  <c r="F199" i="8" l="1"/>
  <c r="G199" i="8" s="1"/>
  <c r="E199" i="8" s="1"/>
  <c r="D99" i="5"/>
  <c r="G99" i="5" s="1"/>
  <c r="E99" i="5" s="1"/>
  <c r="F100" i="5" s="1"/>
  <c r="F200" i="8" l="1"/>
  <c r="H200" i="8"/>
  <c r="D100" i="5"/>
  <c r="G100" i="5" s="1"/>
  <c r="E100" i="5" s="1"/>
  <c r="F101" i="5" s="1"/>
  <c r="G200" i="8" l="1"/>
  <c r="E200" i="8" s="1"/>
  <c r="H201" i="8" s="1"/>
  <c r="D101" i="5"/>
  <c r="G101" i="5" s="1"/>
  <c r="E101" i="5" s="1"/>
  <c r="F102" i="5" s="1"/>
  <c r="F201" i="8" l="1"/>
  <c r="G201" i="8" s="1"/>
  <c r="E201" i="8" s="1"/>
  <c r="H202" i="8" s="1"/>
  <c r="D102" i="5"/>
  <c r="G102" i="5" s="1"/>
  <c r="E102" i="5" s="1"/>
  <c r="D103" i="5" s="1"/>
  <c r="F202" i="8" l="1"/>
  <c r="G202" i="8" s="1"/>
  <c r="E202" i="8" s="1"/>
  <c r="H203" i="8" s="1"/>
  <c r="F103" i="5"/>
  <c r="G103" i="5" s="1"/>
  <c r="E103" i="5" s="1"/>
  <c r="D104" i="5" s="1"/>
  <c r="F203" i="8" l="1"/>
  <c r="G203" i="8" s="1"/>
  <c r="E203" i="8" s="1"/>
  <c r="F204" i="8" s="1"/>
  <c r="F104" i="5"/>
  <c r="G104" i="5" s="1"/>
  <c r="E104" i="5" s="1"/>
  <c r="F105" i="5" s="1"/>
  <c r="H204" i="8" l="1"/>
  <c r="G204" i="8" s="1"/>
  <c r="E204" i="8" s="1"/>
  <c r="F205" i="8" s="1"/>
  <c r="D105" i="5"/>
  <c r="G105" i="5" s="1"/>
  <c r="E105" i="5" s="1"/>
  <c r="F106" i="5" s="1"/>
  <c r="H205" i="8" l="1"/>
  <c r="G205" i="8" s="1"/>
  <c r="E205" i="8" s="1"/>
  <c r="F206" i="8" s="1"/>
  <c r="D106" i="5"/>
  <c r="G106" i="5" s="1"/>
  <c r="E106" i="5" s="1"/>
  <c r="F107" i="5" s="1"/>
  <c r="H206" i="8" l="1"/>
  <c r="G206" i="8" s="1"/>
  <c r="E206" i="8" s="1"/>
  <c r="H207" i="8" s="1"/>
  <c r="D107" i="5"/>
  <c r="G107" i="5" s="1"/>
  <c r="E107" i="5" s="1"/>
  <c r="F108" i="5" s="1"/>
  <c r="F207" i="8" l="1"/>
  <c r="G207" i="8" s="1"/>
  <c r="E207" i="8" s="1"/>
  <c r="H208" i="8" s="1"/>
  <c r="D108" i="5"/>
  <c r="G108" i="5" s="1"/>
  <c r="E108" i="5" s="1"/>
  <c r="F109" i="5" s="1"/>
  <c r="F208" i="8" l="1"/>
  <c r="G208" i="8" s="1"/>
  <c r="E208" i="8" s="1"/>
  <c r="F209" i="8" s="1"/>
  <c r="D109" i="5"/>
  <c r="G109" i="5" s="1"/>
  <c r="E109" i="5" s="1"/>
  <c r="H209" i="8" l="1"/>
  <c r="G209" i="8" s="1"/>
  <c r="E209" i="8" s="1"/>
  <c r="H210" i="8" s="1"/>
  <c r="D110" i="5"/>
  <c r="F110" i="5"/>
  <c r="F210" i="8" l="1"/>
  <c r="G210" i="8" s="1"/>
  <c r="E210" i="8" s="1"/>
  <c r="F211" i="8" s="1"/>
  <c r="G110" i="5"/>
  <c r="E110" i="5" s="1"/>
  <c r="H211" i="8" l="1"/>
  <c r="G211" i="8" s="1"/>
  <c r="E211" i="8" s="1"/>
  <c r="H212" i="8" s="1"/>
  <c r="D111" i="5"/>
  <c r="F111" i="5"/>
  <c r="F212" i="8" l="1"/>
  <c r="G212" i="8" s="1"/>
  <c r="E212" i="8" s="1"/>
  <c r="G111" i="5"/>
  <c r="E111" i="5" s="1"/>
  <c r="H213" i="8" l="1"/>
  <c r="F213" i="8"/>
  <c r="D112" i="5"/>
  <c r="F112" i="5"/>
  <c r="G213" i="8" l="1"/>
  <c r="E213" i="8" s="1"/>
  <c r="G112" i="5"/>
  <c r="E112" i="5" s="1"/>
  <c r="F113" i="5" s="1"/>
  <c r="H214" i="8" l="1"/>
  <c r="F214" i="8"/>
  <c r="D113" i="5"/>
  <c r="G113" i="5" s="1"/>
  <c r="E113" i="5" s="1"/>
  <c r="F114" i="5" s="1"/>
  <c r="G214" i="8" l="1"/>
  <c r="E214" i="8" s="1"/>
  <c r="D114" i="5"/>
  <c r="G114" i="5" s="1"/>
  <c r="E114" i="5" s="1"/>
  <c r="F115" i="5" s="1"/>
  <c r="F215" i="8" l="1"/>
  <c r="H215" i="8"/>
  <c r="D115" i="5"/>
  <c r="G115" i="5" s="1"/>
  <c r="E115" i="5" s="1"/>
  <c r="F116" i="5" s="1"/>
  <c r="G215" i="8" l="1"/>
  <c r="E215" i="8" s="1"/>
  <c r="D116" i="5"/>
  <c r="G116" i="5" s="1"/>
  <c r="E116" i="5" s="1"/>
  <c r="F117" i="5" s="1"/>
  <c r="F216" i="8" l="1"/>
  <c r="H216" i="8"/>
  <c r="D117" i="5"/>
  <c r="G117" i="5" s="1"/>
  <c r="E117" i="5" s="1"/>
  <c r="G216" i="8" l="1"/>
  <c r="E216" i="8" s="1"/>
  <c r="F217" i="8" s="1"/>
  <c r="D118" i="5"/>
  <c r="F118" i="5"/>
  <c r="H217" i="8" l="1"/>
  <c r="G217" i="8" s="1"/>
  <c r="E217" i="8" s="1"/>
  <c r="F218" i="8" s="1"/>
  <c r="G118" i="5"/>
  <c r="E118" i="5" s="1"/>
  <c r="H218" i="8" l="1"/>
  <c r="G218" i="8" s="1"/>
  <c r="E218" i="8" s="1"/>
  <c r="F219" i="8" s="1"/>
  <c r="F119" i="5"/>
  <c r="D119" i="5"/>
  <c r="H219" i="8" l="1"/>
  <c r="G219" i="8" s="1"/>
  <c r="E219" i="8" s="1"/>
  <c r="F220" i="8" s="1"/>
  <c r="G119" i="5"/>
  <c r="E119" i="5" s="1"/>
  <c r="D120" i="5" s="1"/>
  <c r="H220" i="8" l="1"/>
  <c r="G220" i="8" s="1"/>
  <c r="E220" i="8" s="1"/>
  <c r="F221" i="8" s="1"/>
  <c r="F120" i="5"/>
  <c r="G120" i="5" s="1"/>
  <c r="E120" i="5" s="1"/>
  <c r="H221" i="8" l="1"/>
  <c r="G221" i="8" s="1"/>
  <c r="E221" i="8" s="1"/>
  <c r="H222" i="8" s="1"/>
  <c r="F121" i="5"/>
  <c r="D121" i="5"/>
  <c r="F222" i="8" l="1"/>
  <c r="G222" i="8" s="1"/>
  <c r="E222" i="8" s="1"/>
  <c r="F223" i="8" s="1"/>
  <c r="G121" i="5"/>
  <c r="E121" i="5" s="1"/>
  <c r="F122" i="5" s="1"/>
  <c r="H223" i="8" l="1"/>
  <c r="G223" i="8" s="1"/>
  <c r="E223" i="8" s="1"/>
  <c r="F224" i="8" s="1"/>
  <c r="D122" i="5"/>
  <c r="G122" i="5" s="1"/>
  <c r="E122" i="5" s="1"/>
  <c r="F123" i="5" s="1"/>
  <c r="H224" i="8" l="1"/>
  <c r="G224" i="8" s="1"/>
  <c r="E224" i="8" s="1"/>
  <c r="D123" i="5"/>
  <c r="G123" i="5" s="1"/>
  <c r="E123" i="5" s="1"/>
  <c r="F124" i="5" s="1"/>
  <c r="H225" i="8" l="1"/>
  <c r="F225" i="8"/>
  <c r="D124" i="5"/>
  <c r="G124" i="5" s="1"/>
  <c r="E124" i="5" s="1"/>
  <c r="F125" i="5" s="1"/>
  <c r="G225" i="8" l="1"/>
  <c r="E225" i="8" s="1"/>
  <c r="D125" i="5"/>
  <c r="G125" i="5" s="1"/>
  <c r="E125" i="5" s="1"/>
  <c r="H226" i="8" l="1"/>
  <c r="F226" i="8"/>
  <c r="F126" i="5"/>
  <c r="D126" i="5"/>
  <c r="G226" i="8" l="1"/>
  <c r="E226" i="8" s="1"/>
  <c r="G126" i="5"/>
  <c r="E126" i="5" s="1"/>
  <c r="D127" i="5" s="1"/>
  <c r="H227" i="8" l="1"/>
  <c r="F227" i="8"/>
  <c r="F127" i="5"/>
  <c r="G127" i="5" s="1"/>
  <c r="E127" i="5" s="1"/>
  <c r="G227" i="8" l="1"/>
  <c r="E227" i="8" s="1"/>
  <c r="F228" i="8" s="1"/>
  <c r="F128" i="5"/>
  <c r="D128" i="5"/>
  <c r="H228" i="8" l="1"/>
  <c r="G228" i="8" s="1"/>
  <c r="E228" i="8" s="1"/>
  <c r="F229" i="8" s="1"/>
  <c r="G128" i="5"/>
  <c r="E128" i="5" s="1"/>
  <c r="D129" i="5" s="1"/>
  <c r="H229" i="8" l="1"/>
  <c r="G229" i="8" s="1"/>
  <c r="E229" i="8" s="1"/>
  <c r="F129" i="5"/>
  <c r="G129" i="5" s="1"/>
  <c r="E129" i="5" s="1"/>
  <c r="D130" i="5" s="1"/>
  <c r="H230" i="8" l="1"/>
  <c r="F230" i="8"/>
  <c r="F130" i="5"/>
  <c r="G130" i="5" s="1"/>
  <c r="E130" i="5" s="1"/>
  <c r="F131" i="5" s="1"/>
  <c r="G230" i="8" l="1"/>
  <c r="E230" i="8" s="1"/>
  <c r="D131" i="5"/>
  <c r="G131" i="5" s="1"/>
  <c r="E131" i="5" s="1"/>
  <c r="F132" i="5" s="1"/>
  <c r="H231" i="8" l="1"/>
  <c r="F231" i="8"/>
  <c r="D132" i="5"/>
  <c r="G132" i="5" s="1"/>
  <c r="E132" i="5" s="1"/>
  <c r="F133" i="5" s="1"/>
  <c r="G231" i="8" l="1"/>
  <c r="E231" i="8" s="1"/>
  <c r="D133" i="5"/>
  <c r="G133" i="5" s="1"/>
  <c r="E133" i="5" s="1"/>
  <c r="D134" i="5" s="1"/>
  <c r="H232" i="8" l="1"/>
  <c r="F232" i="8"/>
  <c r="F134" i="5"/>
  <c r="G134" i="5" s="1"/>
  <c r="E134" i="5" s="1"/>
  <c r="F135" i="5" s="1"/>
  <c r="G232" i="8" l="1"/>
  <c r="E232" i="8" s="1"/>
  <c r="D135" i="5"/>
  <c r="G135" i="5" s="1"/>
  <c r="E135" i="5" s="1"/>
  <c r="D136" i="5" s="1"/>
  <c r="H233" i="8" l="1"/>
  <c r="F233" i="8"/>
  <c r="F136" i="5"/>
  <c r="G136" i="5" s="1"/>
  <c r="E136" i="5" s="1"/>
  <c r="D137" i="5" s="1"/>
  <c r="G233" i="8" l="1"/>
  <c r="E233" i="8" s="1"/>
  <c r="H234" i="8" s="1"/>
  <c r="F137" i="5"/>
  <c r="G137" i="5" s="1"/>
  <c r="E137" i="5" s="1"/>
  <c r="F234" i="8" l="1"/>
  <c r="G234" i="8" s="1"/>
  <c r="E234" i="8" s="1"/>
  <c r="H235" i="8" s="1"/>
  <c r="F138" i="5"/>
  <c r="D138" i="5"/>
  <c r="F235" i="8" l="1"/>
  <c r="G235" i="8" s="1"/>
  <c r="E235" i="8" s="1"/>
  <c r="G138" i="5"/>
  <c r="E138" i="5" s="1"/>
  <c r="D139" i="5" s="1"/>
  <c r="H236" i="8" l="1"/>
  <c r="F236" i="8"/>
  <c r="F139" i="5"/>
  <c r="G139" i="5" s="1"/>
  <c r="E139" i="5" s="1"/>
  <c r="G236" i="8" l="1"/>
  <c r="E236" i="8" s="1"/>
  <c r="H237" i="8" s="1"/>
  <c r="D140" i="5"/>
  <c r="F140" i="5"/>
  <c r="F237" i="8" l="1"/>
  <c r="G237" i="8" s="1"/>
  <c r="E237" i="8" s="1"/>
  <c r="G140" i="5"/>
  <c r="E140" i="5" s="1"/>
  <c r="H238" i="8" l="1"/>
  <c r="F238" i="8"/>
  <c r="D141" i="5"/>
  <c r="F141" i="5"/>
  <c r="G238" i="8" l="1"/>
  <c r="E238" i="8" s="1"/>
  <c r="G141" i="5"/>
  <c r="E141" i="5" s="1"/>
  <c r="H239" i="8" l="1"/>
  <c r="F239" i="8"/>
  <c r="F142" i="5"/>
  <c r="D142" i="5"/>
  <c r="G239" i="8" l="1"/>
  <c r="E239" i="8" s="1"/>
  <c r="F240" i="8" s="1"/>
  <c r="G142" i="5"/>
  <c r="E142" i="5" s="1"/>
  <c r="F143" i="5" s="1"/>
  <c r="H240" i="8" l="1"/>
  <c r="G240" i="8" s="1"/>
  <c r="E240" i="8" s="1"/>
  <c r="D143" i="5"/>
  <c r="G143" i="5" s="1"/>
  <c r="E143" i="5" s="1"/>
  <c r="H241" i="8" l="1"/>
  <c r="F241" i="8"/>
  <c r="D144" i="5"/>
  <c r="F144" i="5"/>
  <c r="G241" i="8" l="1"/>
  <c r="E241" i="8" s="1"/>
  <c r="H242" i="8" s="1"/>
  <c r="G144" i="5"/>
  <c r="E144" i="5" s="1"/>
  <c r="F145" i="5" s="1"/>
  <c r="F242" i="8" l="1"/>
  <c r="G242" i="8" s="1"/>
  <c r="E242" i="8" s="1"/>
  <c r="D145" i="5"/>
  <c r="G145" i="5" s="1"/>
  <c r="E145" i="5" s="1"/>
  <c r="F146" i="5" s="1"/>
  <c r="H243" i="8" l="1"/>
  <c r="F243" i="8"/>
  <c r="D146" i="5"/>
  <c r="G146" i="5" s="1"/>
  <c r="E146" i="5" s="1"/>
  <c r="G243" i="8" l="1"/>
  <c r="E243" i="8" s="1"/>
  <c r="F147" i="5"/>
  <c r="D147" i="5"/>
  <c r="H244" i="8" l="1"/>
  <c r="F244" i="8"/>
  <c r="G147" i="5"/>
  <c r="E147" i="5" s="1"/>
  <c r="F148" i="5" s="1"/>
  <c r="G244" i="8" l="1"/>
  <c r="E244" i="8" s="1"/>
  <c r="H245" i="8" s="1"/>
  <c r="D148" i="5"/>
  <c r="G148" i="5" s="1"/>
  <c r="E148" i="5" s="1"/>
  <c r="F149" i="5" s="1"/>
  <c r="F245" i="8" l="1"/>
  <c r="G245" i="8" s="1"/>
  <c r="E245" i="8" s="1"/>
  <c r="D149" i="5"/>
  <c r="G149" i="5" s="1"/>
  <c r="E149" i="5" s="1"/>
  <c r="F150" i="5" s="1"/>
  <c r="H246" i="8" l="1"/>
  <c r="F246" i="8"/>
  <c r="D150" i="5"/>
  <c r="G150" i="5" s="1"/>
  <c r="E150" i="5" s="1"/>
  <c r="F151" i="5" s="1"/>
  <c r="G246" i="8" l="1"/>
  <c r="E246" i="8" s="1"/>
  <c r="H247" i="8" s="1"/>
  <c r="D151" i="5"/>
  <c r="G151" i="5" s="1"/>
  <c r="E151" i="5" s="1"/>
  <c r="F152" i="5" s="1"/>
  <c r="F247" i="8" l="1"/>
  <c r="G247" i="8" s="1"/>
  <c r="E247" i="8" s="1"/>
  <c r="D152" i="5"/>
  <c r="G152" i="5" s="1"/>
  <c r="E152" i="5" s="1"/>
  <c r="D153" i="5" s="1"/>
  <c r="H248" i="8" l="1"/>
  <c r="F248" i="8"/>
  <c r="F153" i="5"/>
  <c r="G153" i="5" s="1"/>
  <c r="E153" i="5" s="1"/>
  <c r="F154" i="5" s="1"/>
  <c r="G248" i="8" l="1"/>
  <c r="E248" i="8" s="1"/>
  <c r="D154" i="5"/>
  <c r="G154" i="5" s="1"/>
  <c r="E154" i="5" s="1"/>
  <c r="H249" i="8" l="1"/>
  <c r="F249" i="8"/>
  <c r="D155" i="5"/>
  <c r="F155" i="5"/>
  <c r="G249" i="8" l="1"/>
  <c r="E249" i="8" s="1"/>
  <c r="G155" i="5"/>
  <c r="E155" i="5" s="1"/>
  <c r="D156" i="5" s="1"/>
  <c r="H250" i="8" l="1"/>
  <c r="F250" i="8"/>
  <c r="F156" i="5"/>
  <c r="G156" i="5" s="1"/>
  <c r="E156" i="5" s="1"/>
  <c r="F157" i="5" s="1"/>
  <c r="G250" i="8" l="1"/>
  <c r="E250" i="8" s="1"/>
  <c r="F251" i="8" s="1"/>
  <c r="D157" i="5"/>
  <c r="G157" i="5" s="1"/>
  <c r="E157" i="5" s="1"/>
  <c r="H251" i="8" l="1"/>
  <c r="G251" i="8" s="1"/>
  <c r="E251" i="8" s="1"/>
  <c r="F252" i="8" s="1"/>
  <c r="D158" i="5"/>
  <c r="F158" i="5"/>
  <c r="H252" i="8" l="1"/>
  <c r="G252" i="8" s="1"/>
  <c r="E252" i="8" s="1"/>
  <c r="G158" i="5"/>
  <c r="E158" i="5" s="1"/>
  <c r="F159" i="5" s="1"/>
  <c r="H253" i="8" l="1"/>
  <c r="F253" i="8"/>
  <c r="D159" i="5"/>
  <c r="G159" i="5" s="1"/>
  <c r="E159" i="5" s="1"/>
  <c r="F160" i="5" s="1"/>
  <c r="G253" i="8" l="1"/>
  <c r="E253" i="8" s="1"/>
  <c r="D160" i="5"/>
  <c r="H254" i="8" l="1"/>
  <c r="F254" i="8"/>
  <c r="G160" i="5"/>
  <c r="E160" i="5" s="1"/>
  <c r="F161" i="5" s="1"/>
  <c r="G254" i="8" l="1"/>
  <c r="E254" i="8" s="1"/>
  <c r="F255" i="8" s="1"/>
  <c r="D161" i="5"/>
  <c r="G161" i="5" s="1"/>
  <c r="E161" i="5" s="1"/>
  <c r="F162" i="5" s="1"/>
  <c r="H255" i="8" l="1"/>
  <c r="G255" i="8" s="1"/>
  <c r="E255" i="8" s="1"/>
  <c r="D162" i="5"/>
  <c r="H256" i="8" l="1"/>
  <c r="F256" i="8"/>
  <c r="G162" i="5"/>
  <c r="E162" i="5" s="1"/>
  <c r="F163" i="5" s="1"/>
  <c r="G256" i="8" l="1"/>
  <c r="E256" i="8" s="1"/>
  <c r="D163" i="5"/>
  <c r="H257" i="8" l="1"/>
  <c r="F257" i="8"/>
  <c r="G163" i="5"/>
  <c r="E163" i="5" s="1"/>
  <c r="F164" i="5" s="1"/>
  <c r="G257" i="8" l="1"/>
  <c r="E257" i="8" s="1"/>
  <c r="D164" i="5"/>
  <c r="H258" i="8" l="1"/>
  <c r="F258" i="8"/>
  <c r="G164" i="5"/>
  <c r="E164" i="5" s="1"/>
  <c r="G258" i="8" l="1"/>
  <c r="E258" i="8" s="1"/>
  <c r="D165" i="5"/>
  <c r="F165" i="5"/>
  <c r="H259" i="8" l="1"/>
  <c r="F259" i="8"/>
  <c r="G165" i="5"/>
  <c r="E165" i="5" s="1"/>
  <c r="F166" i="5" s="1"/>
  <c r="G259" i="8" l="1"/>
  <c r="E259" i="8" s="1"/>
  <c r="D166" i="5"/>
  <c r="G166" i="5" s="1"/>
  <c r="E166" i="5" s="1"/>
  <c r="F167" i="5" s="1"/>
  <c r="H260" i="8" l="1"/>
  <c r="F260" i="8"/>
  <c r="D167" i="5"/>
  <c r="G260" i="8" l="1"/>
  <c r="E260" i="8" s="1"/>
  <c r="F261" i="8" s="1"/>
  <c r="G167" i="5"/>
  <c r="E167" i="5" s="1"/>
  <c r="H261" i="8" l="1"/>
  <c r="G261" i="8" s="1"/>
  <c r="E261" i="8" s="1"/>
  <c r="H262" i="8" s="1"/>
  <c r="D168" i="5"/>
  <c r="F168" i="5"/>
  <c r="F262" i="8" l="1"/>
  <c r="G262" i="8" s="1"/>
  <c r="E262" i="8" s="1"/>
  <c r="G168" i="5"/>
  <c r="E168" i="5" s="1"/>
  <c r="D169" i="5" s="1"/>
  <c r="H263" i="8" l="1"/>
  <c r="F263" i="8"/>
  <c r="F169" i="5"/>
  <c r="G169" i="5" s="1"/>
  <c r="E169" i="5" s="1"/>
  <c r="G263" i="8" l="1"/>
  <c r="E263" i="8" s="1"/>
  <c r="F264" i="8" s="1"/>
  <c r="D170" i="5"/>
  <c r="F170" i="5"/>
  <c r="H264" i="8" l="1"/>
  <c r="G264" i="8" s="1"/>
  <c r="E264" i="8" s="1"/>
  <c r="H265" i="8" s="1"/>
  <c r="G170" i="5"/>
  <c r="E170" i="5" s="1"/>
  <c r="D171" i="5" s="1"/>
  <c r="F265" i="8" l="1"/>
  <c r="G265" i="8" s="1"/>
  <c r="E265" i="8" s="1"/>
  <c r="F171" i="5"/>
  <c r="G171" i="5" s="1"/>
  <c r="E171" i="5" s="1"/>
  <c r="F172" i="5" s="1"/>
  <c r="H266" i="8" l="1"/>
  <c r="F266" i="8"/>
  <c r="D172" i="5"/>
  <c r="G172" i="5" s="1"/>
  <c r="E172" i="5" s="1"/>
  <c r="F173" i="5" s="1"/>
  <c r="G266" i="8" l="1"/>
  <c r="E266" i="8" s="1"/>
  <c r="F267" i="8" s="1"/>
  <c r="D173" i="5"/>
  <c r="G173" i="5" s="1"/>
  <c r="E173" i="5" s="1"/>
  <c r="D174" i="5" s="1"/>
  <c r="H267" i="8" l="1"/>
  <c r="G267" i="8" s="1"/>
  <c r="E267" i="8" s="1"/>
  <c r="F268" i="8" s="1"/>
  <c r="G268" i="8" s="1"/>
  <c r="E268" i="8" s="1"/>
  <c r="F269" i="8" s="1"/>
  <c r="G269" i="8" s="1"/>
  <c r="E269" i="8" s="1"/>
  <c r="F270" i="8" s="1"/>
  <c r="G270" i="8" s="1"/>
  <c r="E270" i="8" s="1"/>
  <c r="F271" i="8" s="1"/>
  <c r="G271" i="8" s="1"/>
  <c r="E271" i="8" s="1"/>
  <c r="F272" i="8" s="1"/>
  <c r="G272" i="8" s="1"/>
  <c r="E272" i="8" s="1"/>
  <c r="F273" i="8" s="1"/>
  <c r="G273" i="8" s="1"/>
  <c r="E273" i="8" s="1"/>
  <c r="F274" i="8" s="1"/>
  <c r="G274" i="8" s="1"/>
  <c r="E274" i="8" s="1"/>
  <c r="F275" i="8" s="1"/>
  <c r="G275" i="8" s="1"/>
  <c r="E275" i="8" s="1"/>
  <c r="F276" i="8" s="1"/>
  <c r="G276" i="8" s="1"/>
  <c r="E276" i="8" s="1"/>
  <c r="F277" i="8" s="1"/>
  <c r="G277" i="8" s="1"/>
  <c r="E277" i="8" s="1"/>
  <c r="F278" i="8" s="1"/>
  <c r="G278" i="8" s="1"/>
  <c r="E278" i="8" s="1"/>
  <c r="F279" i="8" s="1"/>
  <c r="G279" i="8" s="1"/>
  <c r="E279" i="8" s="1"/>
  <c r="F280" i="8" s="1"/>
  <c r="G280" i="8" s="1"/>
  <c r="E280" i="8" s="1"/>
  <c r="F281" i="8" s="1"/>
  <c r="G281" i="8" s="1"/>
  <c r="E281" i="8" s="1"/>
  <c r="F282" i="8" s="1"/>
  <c r="G282" i="8" s="1"/>
  <c r="E282" i="8" s="1"/>
  <c r="F283" i="8" s="1"/>
  <c r="G283" i="8" s="1"/>
  <c r="E283" i="8" s="1"/>
  <c r="F284" i="8" s="1"/>
  <c r="G284" i="8" s="1"/>
  <c r="E284" i="8" s="1"/>
  <c r="F285" i="8" s="1"/>
  <c r="G285" i="8" s="1"/>
  <c r="E285" i="8" s="1"/>
  <c r="F286" i="8" s="1"/>
  <c r="G286" i="8" s="1"/>
  <c r="E286" i="8" s="1"/>
  <c r="F287" i="8" s="1"/>
  <c r="G287" i="8" s="1"/>
  <c r="E287" i="8" s="1"/>
  <c r="F288" i="8" s="1"/>
  <c r="G288" i="8" s="1"/>
  <c r="E288" i="8" s="1"/>
  <c r="F289" i="8" s="1"/>
  <c r="G289" i="8" s="1"/>
  <c r="E289" i="8" s="1"/>
  <c r="F174" i="5"/>
  <c r="G174" i="5" s="1"/>
  <c r="E174" i="5" s="1"/>
  <c r="F290" i="8" l="1"/>
  <c r="G290" i="8" s="1"/>
  <c r="E290" i="8" s="1"/>
  <c r="F291" i="8" s="1"/>
  <c r="G291" i="8" s="1"/>
  <c r="E291" i="8" s="1"/>
  <c r="F292" i="8" s="1"/>
  <c r="G292" i="8" s="1"/>
  <c r="E292" i="8" s="1"/>
  <c r="F293" i="8" s="1"/>
  <c r="G293" i="8" s="1"/>
  <c r="E293" i="8" s="1"/>
  <c r="D175" i="5"/>
  <c r="F175" i="5"/>
  <c r="F294" i="8" l="1"/>
  <c r="G294" i="8" s="1"/>
  <c r="E294" i="8" s="1"/>
  <c r="F295" i="8" s="1"/>
  <c r="G295" i="8" s="1"/>
  <c r="E295" i="8" s="1"/>
  <c r="F296" i="8" s="1"/>
  <c r="G296" i="8" s="1"/>
  <c r="E296" i="8" s="1"/>
  <c r="F297" i="8" s="1"/>
  <c r="G297" i="8" s="1"/>
  <c r="E297" i="8" s="1"/>
  <c r="G175" i="5"/>
  <c r="E175" i="5" s="1"/>
  <c r="F176" i="5" s="1"/>
  <c r="F298" i="8" l="1"/>
  <c r="G298" i="8" s="1"/>
  <c r="E298" i="8" s="1"/>
  <c r="F299" i="8" s="1"/>
  <c r="G299" i="8" s="1"/>
  <c r="E299" i="8" s="1"/>
  <c r="F300" i="8" s="1"/>
  <c r="G300" i="8" s="1"/>
  <c r="E300" i="8" s="1"/>
  <c r="F301" i="8" s="1"/>
  <c r="G301" i="8" s="1"/>
  <c r="E301" i="8" s="1"/>
  <c r="F302" i="8" s="1"/>
  <c r="G302" i="8" s="1"/>
  <c r="E302" i="8" s="1"/>
  <c r="F303" i="8" s="1"/>
  <c r="G303" i="8" s="1"/>
  <c r="E303" i="8" s="1"/>
  <c r="F304" i="8" s="1"/>
  <c r="G304" i="8" s="1"/>
  <c r="E304" i="8" s="1"/>
  <c r="F305" i="8" s="1"/>
  <c r="G305" i="8" s="1"/>
  <c r="E305" i="8" s="1"/>
  <c r="F306" i="8" s="1"/>
  <c r="G306" i="8" s="1"/>
  <c r="E306" i="8" s="1"/>
  <c r="F307" i="8" s="1"/>
  <c r="G307" i="8" s="1"/>
  <c r="E307" i="8" s="1"/>
  <c r="F308" i="8" s="1"/>
  <c r="G308" i="8" s="1"/>
  <c r="E308" i="8" s="1"/>
  <c r="D176" i="5"/>
  <c r="G176" i="5" s="1"/>
  <c r="E176" i="5" s="1"/>
  <c r="F177" i="5" s="1"/>
  <c r="F309" i="8" l="1"/>
  <c r="G309" i="8" s="1"/>
  <c r="E309" i="8" s="1"/>
  <c r="D177" i="5"/>
  <c r="G177" i="5" s="1"/>
  <c r="E177" i="5" s="1"/>
  <c r="F310" i="8" l="1"/>
  <c r="G310" i="8" s="1"/>
  <c r="E310" i="8" s="1"/>
  <c r="F311" i="8" s="1"/>
  <c r="G311" i="8" s="1"/>
  <c r="E311" i="8" s="1"/>
  <c r="F312" i="8" s="1"/>
  <c r="G312" i="8" s="1"/>
  <c r="E312" i="8" s="1"/>
  <c r="F313" i="8" s="1"/>
  <c r="G313" i="8" s="1"/>
  <c r="E313" i="8" s="1"/>
  <c r="F314" i="8" s="1"/>
  <c r="G314" i="8" s="1"/>
  <c r="E314" i="8" s="1"/>
  <c r="F315" i="8" s="1"/>
  <c r="G315" i="8" s="1"/>
  <c r="E315" i="8" s="1"/>
  <c r="F316" i="8" s="1"/>
  <c r="G316" i="8" s="1"/>
  <c r="E316" i="8" s="1"/>
  <c r="F317" i="8" s="1"/>
  <c r="G317" i="8" s="1"/>
  <c r="E317" i="8" s="1"/>
  <c r="F318" i="8" s="1"/>
  <c r="G318" i="8" s="1"/>
  <c r="E318" i="8" s="1"/>
  <c r="F319" i="8" s="1"/>
  <c r="G319" i="8" s="1"/>
  <c r="E319" i="8" s="1"/>
  <c r="F320" i="8" s="1"/>
  <c r="G320" i="8" s="1"/>
  <c r="E320" i="8" s="1"/>
  <c r="F321" i="8" s="1"/>
  <c r="G321" i="8" s="1"/>
  <c r="E321" i="8" s="1"/>
  <c r="D178" i="5"/>
  <c r="F178" i="5"/>
  <c r="F322" i="8" l="1"/>
  <c r="G322" i="8" s="1"/>
  <c r="E322" i="8" s="1"/>
  <c r="F323" i="8" s="1"/>
  <c r="G323" i="8" s="1"/>
  <c r="E323" i="8" s="1"/>
  <c r="F324" i="8" s="1"/>
  <c r="G324" i="8" s="1"/>
  <c r="E324" i="8" s="1"/>
  <c r="F325" i="8" s="1"/>
  <c r="G325" i="8" s="1"/>
  <c r="E325" i="8" s="1"/>
  <c r="F326" i="8" s="1"/>
  <c r="G326" i="8" s="1"/>
  <c r="E326" i="8" s="1"/>
  <c r="G178" i="5"/>
  <c r="E178" i="5" s="1"/>
  <c r="D179" i="5" s="1"/>
  <c r="F327" i="8" l="1"/>
  <c r="G327" i="8" s="1"/>
  <c r="E327" i="8" s="1"/>
  <c r="F328" i="8" s="1"/>
  <c r="G328" i="8" s="1"/>
  <c r="E328" i="8" s="1"/>
  <c r="F329" i="8" s="1"/>
  <c r="G329" i="8" s="1"/>
  <c r="E329" i="8" s="1"/>
  <c r="F330" i="8" s="1"/>
  <c r="G330" i="8" s="1"/>
  <c r="E330" i="8" s="1"/>
  <c r="F331" i="8" s="1"/>
  <c r="G331" i="8" s="1"/>
  <c r="E331" i="8" s="1"/>
  <c r="F332" i="8" s="1"/>
  <c r="G332" i="8" s="1"/>
  <c r="E332" i="8" s="1"/>
  <c r="F333" i="8" s="1"/>
  <c r="G333" i="8" s="1"/>
  <c r="E333" i="8" s="1"/>
  <c r="F334" i="8" s="1"/>
  <c r="G334" i="8" s="1"/>
  <c r="E334" i="8" s="1"/>
  <c r="F335" i="8" s="1"/>
  <c r="G335" i="8" s="1"/>
  <c r="E335" i="8" s="1"/>
  <c r="F336" i="8" s="1"/>
  <c r="G336" i="8" s="1"/>
  <c r="E336" i="8" s="1"/>
  <c r="F179" i="5"/>
  <c r="G179" i="5" s="1"/>
  <c r="E179" i="5" s="1"/>
  <c r="F180" i="5" s="1"/>
  <c r="F337" i="8" l="1"/>
  <c r="G337" i="8" s="1"/>
  <c r="E337" i="8" s="1"/>
  <c r="F338" i="8" s="1"/>
  <c r="G338" i="8" s="1"/>
  <c r="E338" i="8" s="1"/>
  <c r="F339" i="8" s="1"/>
  <c r="G339" i="8" s="1"/>
  <c r="E339" i="8" s="1"/>
  <c r="F340" i="8" s="1"/>
  <c r="G340" i="8" s="1"/>
  <c r="E340" i="8" s="1"/>
  <c r="F341" i="8" s="1"/>
  <c r="G341" i="8" s="1"/>
  <c r="E341" i="8" s="1"/>
  <c r="F342" i="8" s="1"/>
  <c r="G342" i="8" s="1"/>
  <c r="E342" i="8" s="1"/>
  <c r="D180" i="5"/>
  <c r="G180" i="5" s="1"/>
  <c r="E180" i="5" s="1"/>
  <c r="F343" i="8" l="1"/>
  <c r="G343" i="8" s="1"/>
  <c r="E343" i="8" s="1"/>
  <c r="D181" i="5"/>
  <c r="F181" i="5"/>
  <c r="F344" i="8" l="1"/>
  <c r="G344" i="8" s="1"/>
  <c r="E344" i="8" s="1"/>
  <c r="F345" i="8" s="1"/>
  <c r="G345" i="8" s="1"/>
  <c r="E345" i="8" s="1"/>
  <c r="F346" i="8" s="1"/>
  <c r="G346" i="8" s="1"/>
  <c r="E346" i="8" s="1"/>
  <c r="G181" i="5"/>
  <c r="E181" i="5" s="1"/>
  <c r="D182" i="5" s="1"/>
  <c r="F347" i="8" l="1"/>
  <c r="G347" i="8" s="1"/>
  <c r="E347" i="8" s="1"/>
  <c r="F182" i="5"/>
  <c r="G182" i="5" s="1"/>
  <c r="E182" i="5" s="1"/>
  <c r="F348" i="8" l="1"/>
  <c r="G348" i="8" s="1"/>
  <c r="E348" i="8" s="1"/>
  <c r="F349" i="8" s="1"/>
  <c r="G349" i="8" s="1"/>
  <c r="E349" i="8" s="1"/>
  <c r="F350" i="8" s="1"/>
  <c r="G350" i="8" s="1"/>
  <c r="E350" i="8" s="1"/>
  <c r="D183" i="5"/>
  <c r="F183" i="5"/>
  <c r="F351" i="8" l="1"/>
  <c r="G351" i="8" s="1"/>
  <c r="E351" i="8" s="1"/>
  <c r="F352" i="8" s="1"/>
  <c r="G352" i="8" s="1"/>
  <c r="E352" i="8" s="1"/>
  <c r="F353" i="8" s="1"/>
  <c r="G353" i="8" s="1"/>
  <c r="E353" i="8" s="1"/>
  <c r="F354" i="8" s="1"/>
  <c r="G354" i="8" s="1"/>
  <c r="E354" i="8" s="1"/>
  <c r="F355" i="8" s="1"/>
  <c r="G355" i="8" s="1"/>
  <c r="E355" i="8" s="1"/>
  <c r="F356" i="8" s="1"/>
  <c r="G356" i="8" s="1"/>
  <c r="E356" i="8" s="1"/>
  <c r="F357" i="8" s="1"/>
  <c r="G357" i="8" s="1"/>
  <c r="E357" i="8" s="1"/>
  <c r="F358" i="8" s="1"/>
  <c r="G358" i="8" s="1"/>
  <c r="E358" i="8" s="1"/>
  <c r="F359" i="8" s="1"/>
  <c r="G359" i="8" s="1"/>
  <c r="E359" i="8" s="1"/>
  <c r="F360" i="8" s="1"/>
  <c r="G360" i="8" s="1"/>
  <c r="E360" i="8" s="1"/>
  <c r="F361" i="8" s="1"/>
  <c r="G361" i="8" s="1"/>
  <c r="E361" i="8" s="1"/>
  <c r="F362" i="8" s="1"/>
  <c r="G362" i="8" s="1"/>
  <c r="E362" i="8" s="1"/>
  <c r="F363" i="8" s="1"/>
  <c r="G363" i="8" s="1"/>
  <c r="E363" i="8" s="1"/>
  <c r="F364" i="8" s="1"/>
  <c r="G364" i="8" s="1"/>
  <c r="E364" i="8" s="1"/>
  <c r="F365" i="8" s="1"/>
  <c r="G365" i="8" s="1"/>
  <c r="E365" i="8" s="1"/>
  <c r="F366" i="8" s="1"/>
  <c r="G366" i="8" s="1"/>
  <c r="E366" i="8" s="1"/>
  <c r="F367" i="8" s="1"/>
  <c r="G367" i="8" s="1"/>
  <c r="E367" i="8" s="1"/>
  <c r="F368" i="8" s="1"/>
  <c r="G368" i="8" s="1"/>
  <c r="E368" i="8" s="1"/>
  <c r="F369" i="8" s="1"/>
  <c r="G369" i="8" s="1"/>
  <c r="E369" i="8" s="1"/>
  <c r="F370" i="8" s="1"/>
  <c r="G370" i="8" s="1"/>
  <c r="E370" i="8" s="1"/>
  <c r="F371" i="8" s="1"/>
  <c r="G371" i="8" s="1"/>
  <c r="E371" i="8" s="1"/>
  <c r="F372" i="8" s="1"/>
  <c r="G372" i="8" s="1"/>
  <c r="E372" i="8" s="1"/>
  <c r="F373" i="8" s="1"/>
  <c r="G373" i="8" s="1"/>
  <c r="E373" i="8" s="1"/>
  <c r="F374" i="8" s="1"/>
  <c r="G374" i="8" s="1"/>
  <c r="E374" i="8" s="1"/>
  <c r="F375" i="8" s="1"/>
  <c r="G375" i="8" s="1"/>
  <c r="E375" i="8" s="1"/>
  <c r="F376" i="8" s="1"/>
  <c r="G376" i="8" s="1"/>
  <c r="E376" i="8" s="1"/>
  <c r="F377" i="8" s="1"/>
  <c r="G377" i="8" s="1"/>
  <c r="E377" i="8" s="1"/>
  <c r="F378" i="8" s="1"/>
  <c r="G378" i="8" s="1"/>
  <c r="E378" i="8" s="1"/>
  <c r="F379" i="8" s="1"/>
  <c r="G379" i="8" s="1"/>
  <c r="E379" i="8" s="1"/>
  <c r="F380" i="8" s="1"/>
  <c r="G380" i="8" s="1"/>
  <c r="E380" i="8" s="1"/>
  <c r="F381" i="8" s="1"/>
  <c r="G381" i="8" s="1"/>
  <c r="E381" i="8" s="1"/>
  <c r="F382" i="8" s="1"/>
  <c r="G382" i="8" s="1"/>
  <c r="E382" i="8" s="1"/>
  <c r="F383" i="8" s="1"/>
  <c r="G383" i="8" s="1"/>
  <c r="E383" i="8" s="1"/>
  <c r="F384" i="8" s="1"/>
  <c r="G384" i="8" s="1"/>
  <c r="E384" i="8" s="1"/>
  <c r="F385" i="8" s="1"/>
  <c r="G385" i="8" s="1"/>
  <c r="E385" i="8" s="1"/>
  <c r="F386" i="8" s="1"/>
  <c r="G386" i="8" s="1"/>
  <c r="E386" i="8" s="1"/>
  <c r="F387" i="8" s="1"/>
  <c r="G387" i="8" s="1"/>
  <c r="E387" i="8" s="1"/>
  <c r="G183" i="5"/>
  <c r="E183" i="5" s="1"/>
  <c r="D184" i="5" s="1"/>
  <c r="F184" i="5" l="1"/>
  <c r="G184" i="5" s="1"/>
  <c r="E184" i="5" s="1"/>
  <c r="F185" i="5" s="1"/>
  <c r="D185" i="5" l="1"/>
  <c r="G185" i="5" s="1"/>
  <c r="E185" i="5" s="1"/>
  <c r="F186" i="5" s="1"/>
  <c r="D186" i="5" l="1"/>
  <c r="G186" i="5" s="1"/>
  <c r="E186" i="5" s="1"/>
  <c r="F187" i="5" l="1"/>
  <c r="D187" i="5"/>
  <c r="G187" i="5" l="1"/>
  <c r="E187" i="5" s="1"/>
  <c r="F188" i="5" s="1"/>
  <c r="D188" i="5" l="1"/>
  <c r="G188" i="5" s="1"/>
  <c r="E188" i="5" s="1"/>
  <c r="D189" i="5" s="1"/>
  <c r="F189" i="5" l="1"/>
  <c r="G189" i="5" s="1"/>
  <c r="E189" i="5" s="1"/>
  <c r="F190" i="5" s="1"/>
  <c r="D190" i="5" l="1"/>
  <c r="G190" i="5" s="1"/>
  <c r="E190" i="5" s="1"/>
  <c r="D191" i="5" s="1"/>
  <c r="F191" i="5" l="1"/>
  <c r="G191" i="5" s="1"/>
  <c r="E191" i="5" s="1"/>
  <c r="F192" i="5" l="1"/>
  <c r="D192" i="5"/>
  <c r="G192" i="5" l="1"/>
  <c r="E192" i="5" s="1"/>
  <c r="F193" i="5"/>
  <c r="D193" i="5"/>
  <c r="G193" i="5" l="1"/>
  <c r="E193" i="5" s="1"/>
  <c r="F194" i="5" l="1"/>
  <c r="D194" i="5"/>
  <c r="G194" i="5" l="1"/>
  <c r="E194" i="5" s="1"/>
  <c r="D195" i="5" s="1"/>
  <c r="F195" i="5" l="1"/>
  <c r="G195" i="5" s="1"/>
  <c r="E195" i="5" s="1"/>
  <c r="F196" i="5" l="1"/>
  <c r="D196" i="5"/>
  <c r="G196" i="5" l="1"/>
  <c r="E196" i="5" s="1"/>
  <c r="F197" i="5"/>
  <c r="D197" i="5"/>
  <c r="G197" i="5" l="1"/>
  <c r="E197" i="5" s="1"/>
  <c r="F198" i="5"/>
  <c r="D198" i="5"/>
  <c r="G198" i="5" l="1"/>
  <c r="E198" i="5" s="1"/>
  <c r="F199" i="5"/>
  <c r="D199" i="5"/>
  <c r="G199" i="5" l="1"/>
  <c r="E199" i="5" s="1"/>
  <c r="D200" i="5"/>
  <c r="F200" i="5"/>
  <c r="G200" i="5" l="1"/>
  <c r="E200" i="5" s="1"/>
  <c r="D201" i="5" l="1"/>
  <c r="F201" i="5"/>
  <c r="G201" i="5" l="1"/>
  <c r="E201" i="5" s="1"/>
  <c r="D202" i="5"/>
  <c r="F202" i="5"/>
  <c r="G202" i="5" l="1"/>
  <c r="E202" i="5" s="1"/>
  <c r="F203" i="5" l="1"/>
  <c r="D203" i="5"/>
  <c r="G203" i="5" l="1"/>
  <c r="E203" i="5" s="1"/>
  <c r="F204" i="5"/>
  <c r="D204" i="5"/>
  <c r="G204" i="5" l="1"/>
  <c r="E204" i="5" s="1"/>
  <c r="F205" i="5"/>
  <c r="D205" i="5"/>
  <c r="G205" i="5" l="1"/>
  <c r="E205" i="5" s="1"/>
  <c r="F206" i="5"/>
  <c r="D206" i="5"/>
  <c r="G206" i="5" l="1"/>
  <c r="E206" i="5" s="1"/>
  <c r="D207" i="5"/>
  <c r="F207" i="5"/>
  <c r="G207" i="5" l="1"/>
  <c r="E207" i="5" s="1"/>
  <c r="F208" i="5" l="1"/>
  <c r="D208" i="5"/>
  <c r="G208" i="5" l="1"/>
  <c r="E208" i="5" s="1"/>
  <c r="F209" i="5"/>
  <c r="D209" i="5"/>
  <c r="G209" i="5" l="1"/>
  <c r="E209" i="5" s="1"/>
  <c r="F210" i="5"/>
  <c r="D210" i="5"/>
  <c r="G210" i="5" l="1"/>
  <c r="E210" i="5" s="1"/>
  <c r="D211" i="5"/>
  <c r="F211" i="5"/>
  <c r="G211" i="5" l="1"/>
  <c r="E211" i="5" s="1"/>
  <c r="D212" i="5" l="1"/>
  <c r="F212" i="5"/>
  <c r="G212" i="5" l="1"/>
  <c r="E212" i="5" s="1"/>
  <c r="F213" i="5" l="1"/>
  <c r="D213" i="5"/>
  <c r="G213" i="5" l="1"/>
  <c r="E213" i="5" s="1"/>
  <c r="D214" i="5"/>
  <c r="F214" i="5"/>
  <c r="G214" i="5" l="1"/>
  <c r="E214" i="5" s="1"/>
  <c r="D215" i="5"/>
  <c r="F215" i="5"/>
  <c r="G215" i="5" l="1"/>
  <c r="E215" i="5" s="1"/>
  <c r="D216" i="5"/>
  <c r="F216" i="5"/>
  <c r="G216" i="5" l="1"/>
  <c r="E216" i="5" s="1"/>
  <c r="F217" i="5" l="1"/>
  <c r="D217" i="5"/>
  <c r="G217" i="5" l="1"/>
  <c r="E217" i="5" s="1"/>
  <c r="D218" i="5"/>
  <c r="F218" i="5"/>
  <c r="G218" i="5" l="1"/>
  <c r="E218" i="5" s="1"/>
  <c r="F219" i="5"/>
  <c r="D219" i="5"/>
  <c r="G219" i="5" l="1"/>
  <c r="E219" i="5" s="1"/>
  <c r="F220" i="5"/>
  <c r="D220" i="5"/>
  <c r="G220" i="5" l="1"/>
  <c r="E220" i="5" s="1"/>
  <c r="D221" i="5"/>
  <c r="F221" i="5"/>
  <c r="G221" i="5" l="1"/>
  <c r="E221" i="5" s="1"/>
  <c r="F222" i="5" l="1"/>
  <c r="D222" i="5"/>
  <c r="G222" i="5" l="1"/>
  <c r="E222" i="5" s="1"/>
  <c r="D223" i="5"/>
  <c r="F223" i="5"/>
  <c r="G223" i="5" l="1"/>
  <c r="E223" i="5" s="1"/>
  <c r="D224" i="5" l="1"/>
  <c r="F224" i="5"/>
  <c r="G224" i="5" l="1"/>
  <c r="E224" i="5" s="1"/>
  <c r="F225" i="5" l="1"/>
  <c r="D225" i="5"/>
  <c r="G225" i="5" l="1"/>
  <c r="E225" i="5" s="1"/>
  <c r="F226" i="5"/>
  <c r="D226" i="5"/>
  <c r="G226" i="5" l="1"/>
  <c r="E226" i="5" s="1"/>
  <c r="D227" i="5"/>
  <c r="F227" i="5"/>
  <c r="G227" i="5" l="1"/>
  <c r="E227" i="5" s="1"/>
  <c r="F228" i="5" l="1"/>
  <c r="D228" i="5"/>
  <c r="G228" i="5" l="1"/>
  <c r="E228" i="5" s="1"/>
  <c r="D229" i="5"/>
  <c r="F229" i="5"/>
  <c r="G229" i="5" l="1"/>
  <c r="E229" i="5" s="1"/>
  <c r="F230" i="5" l="1"/>
  <c r="D230" i="5"/>
  <c r="G230" i="5" l="1"/>
  <c r="E230" i="5" s="1"/>
  <c r="F231" i="5" s="1"/>
  <c r="D231" i="5" l="1"/>
  <c r="G231" i="5" s="1"/>
  <c r="E231" i="5" s="1"/>
  <c r="F232" i="5" l="1"/>
  <c r="D232" i="5"/>
  <c r="G232" i="5" l="1"/>
  <c r="E232" i="5" s="1"/>
  <c r="F233" i="5" s="1"/>
  <c r="D233" i="5"/>
  <c r="G233" i="5" l="1"/>
  <c r="E233" i="5" s="1"/>
  <c r="F234" i="5"/>
  <c r="D234" i="5"/>
  <c r="G234" i="5" l="1"/>
  <c r="E234" i="5" s="1"/>
  <c r="D235" i="5"/>
  <c r="F235" i="5"/>
  <c r="G235" i="5" l="1"/>
  <c r="E235" i="5" s="1"/>
  <c r="D236" i="5"/>
  <c r="F236" i="5"/>
  <c r="G236" i="5" l="1"/>
  <c r="E236" i="5" s="1"/>
  <c r="F237" i="5" l="1"/>
  <c r="D237" i="5"/>
  <c r="G237" i="5" l="1"/>
  <c r="E237" i="5" s="1"/>
  <c r="F238" i="5" s="1"/>
  <c r="D238" i="5"/>
  <c r="G238" i="5" l="1"/>
  <c r="E238" i="5" s="1"/>
  <c r="F239" i="5" s="1"/>
  <c r="D239" i="5"/>
  <c r="G239" i="5" l="1"/>
  <c r="E239" i="5" s="1"/>
  <c r="F240" i="5"/>
  <c r="D240" i="5"/>
  <c r="G240" i="5" l="1"/>
  <c r="E240" i="5" s="1"/>
  <c r="D241" i="5"/>
  <c r="F241" i="5"/>
  <c r="G241" i="5" l="1"/>
  <c r="E241" i="5" s="1"/>
  <c r="F242" i="5" l="1"/>
  <c r="D242" i="5"/>
  <c r="G242" i="5" l="1"/>
  <c r="E242" i="5" s="1"/>
  <c r="D243" i="5"/>
  <c r="F243" i="5"/>
  <c r="G243" i="5" l="1"/>
  <c r="E243" i="5" s="1"/>
  <c r="D244" i="5"/>
  <c r="F244" i="5"/>
  <c r="G244" i="5" l="1"/>
  <c r="E244" i="5" s="1"/>
  <c r="D245" i="5" s="1"/>
  <c r="F245" i="5" l="1"/>
  <c r="G245" i="5" s="1"/>
  <c r="E245" i="5" s="1"/>
  <c r="F246" i="5" l="1"/>
  <c r="D246" i="5"/>
  <c r="G246" i="5" l="1"/>
  <c r="E246" i="5" s="1"/>
  <c r="D247" i="5"/>
  <c r="F247" i="5"/>
  <c r="G247" i="5" l="1"/>
  <c r="E247" i="5" s="1"/>
  <c r="F248" i="5" l="1"/>
  <c r="D248" i="5"/>
  <c r="G248" i="5" l="1"/>
  <c r="E248" i="5" s="1"/>
  <c r="F249" i="5"/>
  <c r="D249" i="5"/>
  <c r="G249" i="5" l="1"/>
  <c r="E249" i="5" s="1"/>
  <c r="D250" i="5"/>
  <c r="F250" i="5"/>
  <c r="G250" i="5" l="1"/>
  <c r="E250" i="5" s="1"/>
  <c r="F251" i="5"/>
  <c r="D251" i="5"/>
  <c r="G251" i="5" l="1"/>
  <c r="E251" i="5" s="1"/>
  <c r="F252" i="5" s="1"/>
  <c r="D252" i="5" l="1"/>
  <c r="G252" i="5" s="1"/>
  <c r="E252" i="5" s="1"/>
  <c r="D253" i="5" s="1"/>
  <c r="F253" i="5" l="1"/>
  <c r="G253" i="5" s="1"/>
  <c r="E253" i="5" s="1"/>
  <c r="F254" i="5" l="1"/>
  <c r="D254" i="5"/>
  <c r="G254" i="5" l="1"/>
  <c r="E254" i="5" s="1"/>
  <c r="F255" i="5" s="1"/>
  <c r="D255" i="5"/>
  <c r="G255" i="5" l="1"/>
  <c r="E255" i="5" s="1"/>
  <c r="D256" i="5"/>
  <c r="F256" i="5"/>
  <c r="G256" i="5" l="1"/>
  <c r="E256" i="5" s="1"/>
  <c r="F257" i="5" l="1"/>
  <c r="D257" i="5"/>
  <c r="G257" i="5" l="1"/>
  <c r="E257" i="5" s="1"/>
  <c r="F258" i="5" s="1"/>
  <c r="D258" i="5" l="1"/>
  <c r="G258" i="5" s="1"/>
  <c r="E258" i="5" s="1"/>
  <c r="F259" i="5" l="1"/>
  <c r="D259" i="5"/>
  <c r="G259" i="5" l="1"/>
  <c r="E259" i="5" s="1"/>
  <c r="F260" i="5"/>
  <c r="D260" i="5"/>
  <c r="G260" i="5" l="1"/>
  <c r="E260" i="5" s="1"/>
  <c r="F261" i="5"/>
  <c r="D261" i="5"/>
  <c r="G261" i="5" l="1"/>
  <c r="E261" i="5" s="1"/>
  <c r="D262" i="5"/>
  <c r="F262" i="5"/>
  <c r="G262" i="5" l="1"/>
  <c r="E262" i="5" s="1"/>
  <c r="F263" i="5"/>
  <c r="D263" i="5"/>
  <c r="G263" i="5" l="1"/>
  <c r="E263" i="5" s="1"/>
  <c r="F264" i="5" s="1"/>
  <c r="D264" i="5"/>
  <c r="G264" i="5" l="1"/>
  <c r="E264" i="5" s="1"/>
  <c r="F265" i="5"/>
  <c r="D265" i="5"/>
  <c r="G265" i="5" l="1"/>
  <c r="E265" i="5" s="1"/>
  <c r="F266" i="5"/>
  <c r="D266" i="5"/>
  <c r="G266" i="5" l="1"/>
  <c r="E266" i="5" s="1"/>
  <c r="D267" i="5"/>
  <c r="F267" i="5"/>
  <c r="G267" i="5" l="1"/>
  <c r="E267" i="5" s="1"/>
  <c r="F268" i="5" l="1"/>
  <c r="D268" i="5"/>
  <c r="G268" i="5" l="1"/>
  <c r="E268" i="5" s="1"/>
  <c r="D269" i="5" s="1"/>
  <c r="F269" i="5"/>
  <c r="G269" i="5" l="1"/>
  <c r="E269" i="5" s="1"/>
  <c r="F270" i="5" l="1"/>
  <c r="D270" i="5"/>
  <c r="G270" i="5" l="1"/>
  <c r="E270" i="5" s="1"/>
  <c r="F271" i="5"/>
  <c r="D271" i="5"/>
  <c r="G271" i="5" l="1"/>
  <c r="E271" i="5" s="1"/>
  <c r="D272" i="5"/>
  <c r="F272" i="5"/>
  <c r="G272" i="5" l="1"/>
  <c r="E272" i="5" s="1"/>
  <c r="D273" i="5" l="1"/>
  <c r="F273" i="5"/>
  <c r="G273" i="5" l="1"/>
  <c r="E273" i="5" s="1"/>
  <c r="F274" i="5"/>
  <c r="D274" i="5"/>
  <c r="G274" i="5" l="1"/>
  <c r="E274" i="5" s="1"/>
  <c r="F275" i="5"/>
  <c r="D275" i="5"/>
  <c r="G275" i="5" l="1"/>
  <c r="E275" i="5" s="1"/>
  <c r="F276" i="5"/>
  <c r="D276" i="5"/>
  <c r="G276" i="5" l="1"/>
  <c r="E276" i="5" s="1"/>
  <c r="F277" i="5"/>
  <c r="D277" i="5"/>
  <c r="G277" i="5" l="1"/>
  <c r="E277" i="5" s="1"/>
  <c r="F278" i="5"/>
  <c r="D278" i="5"/>
  <c r="G278" i="5" l="1"/>
  <c r="E278" i="5" s="1"/>
  <c r="F279" i="5"/>
  <c r="D279" i="5"/>
  <c r="G279" i="5" l="1"/>
  <c r="E279" i="5" s="1"/>
  <c r="F280" i="5" s="1"/>
  <c r="D280" i="5"/>
  <c r="G280" i="5" l="1"/>
  <c r="E280" i="5" s="1"/>
  <c r="F281" i="5"/>
  <c r="D281" i="5"/>
  <c r="G281" i="5" l="1"/>
  <c r="E281" i="5" s="1"/>
  <c r="D282" i="5"/>
  <c r="F282" i="5"/>
  <c r="G282" i="5" l="1"/>
  <c r="E282" i="5" s="1"/>
  <c r="D283" i="5"/>
  <c r="F283" i="5"/>
  <c r="G283" i="5" l="1"/>
  <c r="E283" i="5" s="1"/>
  <c r="F284" i="5"/>
  <c r="D284" i="5"/>
  <c r="G284" i="5" l="1"/>
  <c r="E284" i="5" s="1"/>
  <c r="D285" i="5"/>
  <c r="F285" i="5"/>
  <c r="G285" i="5" l="1"/>
  <c r="E285" i="5" s="1"/>
  <c r="D286" i="5"/>
  <c r="F286" i="5"/>
  <c r="G286" i="5" l="1"/>
  <c r="E286" i="5" s="1"/>
  <c r="F287" i="5" l="1"/>
  <c r="D287" i="5"/>
  <c r="G287" i="5" l="1"/>
  <c r="E287" i="5" s="1"/>
  <c r="D288" i="5" s="1"/>
  <c r="F288" i="5"/>
  <c r="G288" i="5" l="1"/>
  <c r="E288" i="5" s="1"/>
  <c r="F289" i="5" l="1"/>
  <c r="D289" i="5"/>
  <c r="G289" i="5" l="1"/>
  <c r="E289" i="5" s="1"/>
  <c r="D290" i="5"/>
  <c r="F290" i="5"/>
  <c r="G290" i="5" l="1"/>
  <c r="E290" i="5" s="1"/>
  <c r="F291" i="5" l="1"/>
  <c r="D291" i="5"/>
  <c r="G291" i="5" l="1"/>
  <c r="E291" i="5" s="1"/>
  <c r="F292" i="5"/>
  <c r="D292" i="5"/>
  <c r="G292" i="5" l="1"/>
  <c r="E292" i="5" s="1"/>
  <c r="D293" i="5"/>
  <c r="F293" i="5"/>
  <c r="G293" i="5" l="1"/>
  <c r="E293" i="5" s="1"/>
  <c r="F294" i="5" l="1"/>
  <c r="D294" i="5"/>
  <c r="G294" i="5" l="1"/>
  <c r="E294" i="5" s="1"/>
  <c r="F295" i="5"/>
  <c r="D295" i="5"/>
  <c r="G295" i="5" l="1"/>
  <c r="E295" i="5" s="1"/>
  <c r="F296" i="5"/>
  <c r="D296" i="5"/>
  <c r="G296" i="5" l="1"/>
  <c r="E296" i="5" s="1"/>
  <c r="F297" i="5"/>
  <c r="D297" i="5"/>
  <c r="G297" i="5" l="1"/>
  <c r="E297" i="5" s="1"/>
  <c r="F298" i="5"/>
  <c r="D298" i="5"/>
  <c r="G298" i="5" l="1"/>
  <c r="E298" i="5" s="1"/>
  <c r="D299" i="5"/>
  <c r="F299" i="5"/>
  <c r="G299" i="5" l="1"/>
  <c r="E299" i="5" s="1"/>
  <c r="F300" i="5" l="1"/>
  <c r="D300" i="5"/>
  <c r="G300" i="5" l="1"/>
  <c r="E300" i="5" s="1"/>
  <c r="F301" i="5"/>
  <c r="D301" i="5"/>
  <c r="G301" i="5" l="1"/>
  <c r="E301" i="5" s="1"/>
  <c r="D302" i="5"/>
  <c r="F302" i="5"/>
  <c r="G302" i="5" l="1"/>
  <c r="E302" i="5" s="1"/>
  <c r="F303" i="5" l="1"/>
  <c r="D303" i="5"/>
  <c r="G303" i="5" l="1"/>
  <c r="E303" i="5" s="1"/>
  <c r="D304" i="5"/>
  <c r="F304" i="5"/>
  <c r="G304" i="5" l="1"/>
  <c r="E304" i="5" s="1"/>
  <c r="F305" i="5" l="1"/>
  <c r="D305" i="5"/>
  <c r="G305" i="5" l="1"/>
  <c r="E305" i="5" s="1"/>
  <c r="F306" i="5"/>
  <c r="D306" i="5"/>
  <c r="G306" i="5" l="1"/>
  <c r="E306" i="5" s="1"/>
  <c r="F307" i="5"/>
  <c r="D307" i="5"/>
  <c r="G307" i="5" l="1"/>
  <c r="E307" i="5" s="1"/>
  <c r="F308" i="5"/>
  <c r="D308" i="5"/>
  <c r="G308" i="5" l="1"/>
  <c r="E308" i="5" s="1"/>
  <c r="F309" i="5"/>
  <c r="D309" i="5"/>
  <c r="G309" i="5" l="1"/>
  <c r="E309" i="5" s="1"/>
  <c r="F310" i="5"/>
  <c r="D310" i="5"/>
  <c r="G310" i="5" l="1"/>
  <c r="E310" i="5" s="1"/>
  <c r="F311" i="5"/>
  <c r="D311" i="5"/>
  <c r="G311" i="5" l="1"/>
  <c r="E311" i="5" s="1"/>
  <c r="F312" i="5"/>
  <c r="D312" i="5"/>
  <c r="G312" i="5" l="1"/>
  <c r="E312" i="5" s="1"/>
  <c r="D313" i="5"/>
  <c r="F313" i="5"/>
  <c r="G313" i="5" l="1"/>
  <c r="E313" i="5" s="1"/>
  <c r="D314" i="5" l="1"/>
  <c r="F314" i="5"/>
  <c r="G314" i="5" l="1"/>
  <c r="E314" i="5" s="1"/>
  <c r="D315" i="5" l="1"/>
  <c r="F315" i="5"/>
  <c r="G315" i="5" l="1"/>
  <c r="E315" i="5" s="1"/>
  <c r="F316" i="5" l="1"/>
  <c r="D316" i="5"/>
  <c r="G316" i="5" l="1"/>
  <c r="E316" i="5" s="1"/>
  <c r="F317" i="5"/>
  <c r="D317" i="5"/>
  <c r="G317" i="5" l="1"/>
  <c r="E317" i="5" s="1"/>
  <c r="F318" i="5"/>
  <c r="D318" i="5"/>
  <c r="G318" i="5" l="1"/>
  <c r="E318" i="5" s="1"/>
  <c r="F319" i="5"/>
  <c r="D319" i="5"/>
  <c r="G319" i="5" l="1"/>
  <c r="E319" i="5" s="1"/>
  <c r="D320" i="5"/>
  <c r="F320" i="5"/>
  <c r="G320" i="5" l="1"/>
  <c r="E320" i="5" s="1"/>
  <c r="F321" i="5" l="1"/>
  <c r="D321" i="5"/>
  <c r="G321" i="5" l="1"/>
  <c r="E321" i="5" s="1"/>
  <c r="F322" i="5" l="1"/>
  <c r="D322" i="5"/>
  <c r="G322" i="5" l="1"/>
  <c r="E322" i="5" s="1"/>
  <c r="F323" i="5"/>
  <c r="D323" i="5"/>
  <c r="G323" i="5" l="1"/>
  <c r="E323" i="5" s="1"/>
  <c r="F324" i="5"/>
  <c r="D324" i="5"/>
  <c r="G324" i="5" l="1"/>
  <c r="E324" i="5" s="1"/>
  <c r="F325" i="5"/>
  <c r="D325" i="5"/>
  <c r="G325" i="5" l="1"/>
  <c r="E325" i="5" s="1"/>
  <c r="D326" i="5"/>
  <c r="F326" i="5"/>
  <c r="G326" i="5" l="1"/>
  <c r="E326" i="5" s="1"/>
  <c r="F327" i="5" l="1"/>
  <c r="D327" i="5"/>
  <c r="G327" i="5" l="1"/>
  <c r="E327" i="5" s="1"/>
  <c r="F328" i="5"/>
  <c r="D328" i="5"/>
  <c r="G328" i="5" l="1"/>
  <c r="E328" i="5" s="1"/>
  <c r="F329" i="5"/>
  <c r="D329" i="5"/>
  <c r="G329" i="5" l="1"/>
  <c r="E329" i="5" s="1"/>
  <c r="F330" i="5"/>
  <c r="D330" i="5"/>
  <c r="G330" i="5" l="1"/>
  <c r="E330" i="5" s="1"/>
  <c r="D331" i="5"/>
  <c r="F331" i="5"/>
  <c r="G331" i="5" l="1"/>
  <c r="E331" i="5" s="1"/>
  <c r="F332" i="5" l="1"/>
  <c r="D332" i="5"/>
  <c r="G332" i="5" l="1"/>
  <c r="E332" i="5" s="1"/>
  <c r="D333" i="5"/>
  <c r="F333" i="5"/>
  <c r="G333" i="5" l="1"/>
  <c r="E333" i="5" s="1"/>
  <c r="F334" i="5" l="1"/>
  <c r="D334" i="5"/>
  <c r="G334" i="5" l="1"/>
  <c r="E334" i="5" s="1"/>
  <c r="F335" i="5" s="1"/>
  <c r="D335" i="5"/>
  <c r="G335" i="5" l="1"/>
  <c r="E335" i="5" s="1"/>
  <c r="D336" i="5"/>
  <c r="F336" i="5"/>
  <c r="G336" i="5" l="1"/>
  <c r="E336" i="5" s="1"/>
  <c r="F337" i="5"/>
  <c r="D337" i="5"/>
  <c r="G337" i="5" l="1"/>
  <c r="E337" i="5" s="1"/>
  <c r="F338" i="5"/>
  <c r="D338" i="5"/>
  <c r="G338" i="5" l="1"/>
  <c r="E338" i="5" s="1"/>
  <c r="F339" i="5"/>
  <c r="D339" i="5"/>
  <c r="G339" i="5" l="1"/>
  <c r="E339" i="5" s="1"/>
  <c r="F340" i="5"/>
  <c r="D340" i="5"/>
  <c r="G340" i="5" l="1"/>
  <c r="E340" i="5" s="1"/>
  <c r="F341" i="5"/>
  <c r="D341" i="5"/>
  <c r="G341" i="5" l="1"/>
  <c r="E341" i="5" s="1"/>
  <c r="F342" i="5"/>
  <c r="D342" i="5"/>
  <c r="G342" i="5" l="1"/>
  <c r="E342" i="5" s="1"/>
  <c r="F343" i="5"/>
  <c r="D343" i="5"/>
  <c r="G343" i="5" l="1"/>
  <c r="E343" i="5" s="1"/>
  <c r="F344" i="5" s="1"/>
  <c r="D344" i="5"/>
  <c r="G344" i="5" l="1"/>
  <c r="E344" i="5" s="1"/>
  <c r="F345" i="5"/>
  <c r="D345" i="5"/>
  <c r="G345" i="5" l="1"/>
  <c r="E345" i="5" s="1"/>
  <c r="D346" i="5"/>
  <c r="F346" i="5"/>
  <c r="G346" i="5" l="1"/>
  <c r="E346" i="5" s="1"/>
  <c r="D347" i="5" l="1"/>
  <c r="F347" i="5"/>
  <c r="G347" i="5" l="1"/>
  <c r="E347" i="5" s="1"/>
  <c r="F348" i="5" l="1"/>
  <c r="D348" i="5"/>
  <c r="G348" i="5" l="1"/>
  <c r="E348" i="5" s="1"/>
  <c r="F349" i="5" s="1"/>
  <c r="D349" i="5"/>
  <c r="G349" i="5" l="1"/>
  <c r="E349" i="5" s="1"/>
  <c r="D350" i="5"/>
  <c r="F350" i="5"/>
  <c r="G350" i="5" l="1"/>
  <c r="E350" i="5" s="1"/>
  <c r="F351" i="5" l="1"/>
  <c r="D351" i="5"/>
  <c r="G351" i="5" l="1"/>
  <c r="E351" i="5" s="1"/>
  <c r="D352" i="5" s="1"/>
  <c r="F352" i="5"/>
  <c r="G352" i="5" l="1"/>
  <c r="E352" i="5" s="1"/>
  <c r="D353" i="5" l="1"/>
  <c r="F353" i="5"/>
  <c r="G353" i="5" l="1"/>
  <c r="E353" i="5" s="1"/>
  <c r="F354" i="5" l="1"/>
  <c r="D354" i="5"/>
  <c r="G354" i="5" l="1"/>
  <c r="E354" i="5" s="1"/>
  <c r="F355" i="5"/>
  <c r="D355" i="5"/>
  <c r="G355" i="5" l="1"/>
  <c r="E355" i="5" s="1"/>
  <c r="F356" i="5"/>
  <c r="D356" i="5"/>
  <c r="G356" i="5" l="1"/>
  <c r="E356" i="5" s="1"/>
  <c r="F357" i="5" s="1"/>
  <c r="D357" i="5"/>
  <c r="G357" i="5" l="1"/>
  <c r="E357" i="5" s="1"/>
  <c r="D358" i="5" s="1"/>
  <c r="F358" i="5"/>
  <c r="G358" i="5" l="1"/>
  <c r="E358" i="5" s="1"/>
  <c r="F359" i="5" l="1"/>
  <c r="D359" i="5"/>
  <c r="G359" i="5" l="1"/>
  <c r="E359" i="5" s="1"/>
  <c r="F360" i="5" s="1"/>
  <c r="D360" i="5" l="1"/>
  <c r="G360" i="5" s="1"/>
  <c r="E360" i="5" s="1"/>
  <c r="D361" i="5" l="1"/>
  <c r="F361" i="5"/>
  <c r="G361" i="5" l="1"/>
  <c r="E361" i="5" s="1"/>
  <c r="D362" i="5"/>
  <c r="F362" i="5"/>
  <c r="D363" i="5"/>
  <c r="G362" i="5" l="1"/>
  <c r="E362" i="5" s="1"/>
  <c r="F363" i="5" s="1"/>
  <c r="G363" i="5" s="1"/>
  <c r="E363" i="5" s="1"/>
  <c r="F364" i="5" l="1"/>
  <c r="D364" i="5"/>
  <c r="G364" i="5" l="1"/>
  <c r="E364" i="5" s="1"/>
  <c r="D365" i="5"/>
  <c r="F365" i="5"/>
  <c r="G365" i="5" l="1"/>
  <c r="E365" i="5" s="1"/>
  <c r="D366" i="5" l="1"/>
  <c r="F366" i="5"/>
  <c r="G366" i="5" l="1"/>
  <c r="E366" i="5" s="1"/>
  <c r="F367" i="5" l="1"/>
  <c r="D367" i="5"/>
  <c r="G367" i="5" l="1"/>
  <c r="E367" i="5" s="1"/>
  <c r="D368" i="5" s="1"/>
  <c r="F368" i="5" l="1"/>
  <c r="G368" i="5" s="1"/>
  <c r="E368" i="5" s="1"/>
  <c r="F369" i="5" l="1"/>
  <c r="D369" i="5"/>
  <c r="G369" i="5" l="1"/>
  <c r="E369" i="5" s="1"/>
  <c r="F370" i="5"/>
  <c r="D370" i="5"/>
  <c r="G370" i="5" l="1"/>
  <c r="E370" i="5" s="1"/>
  <c r="F371" i="5"/>
  <c r="D371" i="5"/>
  <c r="G371" i="5" l="1"/>
  <c r="E371" i="5" s="1"/>
  <c r="F372" i="5"/>
  <c r="F9" i="5" s="1"/>
  <c r="D372" i="5"/>
  <c r="P17" i="4" l="1"/>
  <c r="L14" i="7"/>
  <c r="G372" i="5"/>
  <c r="E372" i="5" s="1"/>
  <c r="Q17" i="4" l="1"/>
  <c r="E15" i="7"/>
  <c r="H15" i="7" s="1"/>
  <c r="F15" i="7" s="1"/>
  <c r="C15" i="6" l="1"/>
  <c r="I15" i="7"/>
  <c r="D7" i="7"/>
  <c r="E1" i="6" s="1"/>
  <c r="F1" i="6" s="1"/>
  <c r="F7" i="7" l="1"/>
  <c r="G7" i="4"/>
  <c r="J15" i="7"/>
  <c r="C12" i="6"/>
  <c r="C16" i="6" s="1"/>
  <c r="C11" i="6" l="1"/>
  <c r="D15" i="7" l="1"/>
  <c r="C17" i="6"/>
  <c r="K15" i="7" s="1"/>
  <c r="L15" i="7" s="1"/>
  <c r="F16" i="7"/>
  <c r="G18" i="4"/>
</calcChain>
</file>

<file path=xl/sharedStrings.xml><?xml version="1.0" encoding="utf-8"?>
<sst xmlns="http://schemas.openxmlformats.org/spreadsheetml/2006/main" count="567" uniqueCount="152">
  <si>
    <t>Дисконт к ставке</t>
  </si>
  <si>
    <t>Срок действия дисконта, мес.</t>
  </si>
  <si>
    <t>Итоговая ставка для клиента</t>
  </si>
  <si>
    <t>КВ, %</t>
  </si>
  <si>
    <t>на весь срок</t>
  </si>
  <si>
    <t>12 мес</t>
  </si>
  <si>
    <t>24 мес</t>
  </si>
  <si>
    <t>60 мес</t>
  </si>
  <si>
    <t>Стоимость объекта исходная, руб.</t>
  </si>
  <si>
    <t xml:space="preserve"> - редактируемое поле</t>
  </si>
  <si>
    <t>Месторасположение объекта</t>
  </si>
  <si>
    <t>Программа кредитования</t>
  </si>
  <si>
    <t>Господдержка 2020</t>
  </si>
  <si>
    <t>Срок действия дисконта, лет</t>
  </si>
  <si>
    <t>1 год</t>
  </si>
  <si>
    <t>Электронная регистрация сделки (ЭРС)</t>
  </si>
  <si>
    <t>нет</t>
  </si>
  <si>
    <t>Есть зарплатная карта АББ?</t>
  </si>
  <si>
    <t>Страхование</t>
  </si>
  <si>
    <t>Без страхования</t>
  </si>
  <si>
    <t>Ставка клиенту на льготный период</t>
  </si>
  <si>
    <t>Ставка клиенту после льготного периода</t>
  </si>
  <si>
    <t>Комиссия с партнера за предоставление дисконта, % от суммы кредита</t>
  </si>
  <si>
    <t>Кредитные средства, руб.</t>
  </si>
  <si>
    <t>ПВ по договору</t>
  </si>
  <si>
    <t>Стоимость объекта по договору</t>
  </si>
  <si>
    <t>Возмещение, руб.</t>
  </si>
  <si>
    <t>% от первоначальной стоимости объекта</t>
  </si>
  <si>
    <t>Ежемесячный платеж во время льготного периода*, руб.</t>
  </si>
  <si>
    <t>Ежемесячный платеж после льготного периода*, руб.</t>
  </si>
  <si>
    <t>Ежемесячная экономия во время льготного периода, руб.</t>
  </si>
  <si>
    <t>Ежемесячная экономия после льготного периода, руб.</t>
  </si>
  <si>
    <t>Переплата за весь срок, руб.</t>
  </si>
  <si>
    <t>Общая экономия</t>
  </si>
  <si>
    <t>ПВ до 20%</t>
  </si>
  <si>
    <t>ПВ от 20,01%</t>
  </si>
  <si>
    <t>БПС</t>
  </si>
  <si>
    <t>Господдержка Семейная</t>
  </si>
  <si>
    <t>Мегаполис (готовая квартира)</t>
  </si>
  <si>
    <t>Перспектива (строящаяся квартира)</t>
  </si>
  <si>
    <t>Комфорт (индивидуальный дом)</t>
  </si>
  <si>
    <t>2 года</t>
  </si>
  <si>
    <t>5 лет</t>
  </si>
  <si>
    <t>весь срок кредита</t>
  </si>
  <si>
    <t>Первоначальный взнос (ПВ), %</t>
  </si>
  <si>
    <t>Первоначальный взнос (ПВ), руб.</t>
  </si>
  <si>
    <t>ЭРС</t>
  </si>
  <si>
    <t>ЖК «Luciano Vita Club»</t>
  </si>
  <si>
    <t>отказ от страх</t>
  </si>
  <si>
    <t>з/п</t>
  </si>
  <si>
    <t>скидки/ надбавки</t>
  </si>
  <si>
    <t>мин ПВ</t>
  </si>
  <si>
    <t>Срок кредита, мес.</t>
  </si>
  <si>
    <t>лет максимальный срок ипотеки</t>
  </si>
  <si>
    <t>год минимальный срок ипотеки</t>
  </si>
  <si>
    <t>да</t>
  </si>
  <si>
    <t>ставка</t>
  </si>
  <si>
    <t>за ЭРС</t>
  </si>
  <si>
    <t>за з/п</t>
  </si>
  <si>
    <t>Со страхованием</t>
  </si>
  <si>
    <t>страх</t>
  </si>
  <si>
    <t>Ставка для клиента, % годовых</t>
  </si>
  <si>
    <t>Ставка в калк</t>
  </si>
  <si>
    <t>Возмещение от партнера на весь срок</t>
  </si>
  <si>
    <t>Возмещение от партнера на 1 год</t>
  </si>
  <si>
    <t>Возмещение от партнера на 2 года</t>
  </si>
  <si>
    <t>Возмещение от партнера на 5 лет</t>
  </si>
  <si>
    <t>КВ в калк</t>
  </si>
  <si>
    <t>платеж</t>
  </si>
  <si>
    <t>оод</t>
  </si>
  <si>
    <t>сумма кредита</t>
  </si>
  <si>
    <t>ставка на льготный период</t>
  </si>
  <si>
    <t>ставка после льготного периода</t>
  </si>
  <si>
    <t>пл по %</t>
  </si>
  <si>
    <t>пл по ОД</t>
  </si>
  <si>
    <t>плт 1</t>
  </si>
  <si>
    <t>плт2</t>
  </si>
  <si>
    <t>* - расчет ежемесячного платежа и переплаты является предварительным, точные данные и полную стоимость кредита можно получить в подразделении Банка.</t>
  </si>
  <si>
    <t>КВ,%</t>
  </si>
  <si>
    <t>Комфорт
ПВ от 20%</t>
  </si>
  <si>
    <t>ПВ</t>
  </si>
  <si>
    <t>макс</t>
  </si>
  <si>
    <t>мин</t>
  </si>
  <si>
    <t>ставка ФЛ</t>
  </si>
  <si>
    <t>возмещение от застройщика</t>
  </si>
  <si>
    <t>регион</t>
  </si>
  <si>
    <t>комиссия с партнера</t>
  </si>
  <si>
    <t>мак сумма кредита по госкам</t>
  </si>
  <si>
    <t>мак сумма кредита по комбо</t>
  </si>
  <si>
    <t>скидка за ЭРС</t>
  </si>
  <si>
    <t>отказ от страхования</t>
  </si>
  <si>
    <t>Справочно:</t>
  </si>
  <si>
    <t>Минимальный ПВ</t>
  </si>
  <si>
    <t>Ежемесячный платеж*, руб.</t>
  </si>
  <si>
    <t>Срок кредита не может быть менее 1 года (12 мес.)</t>
  </si>
  <si>
    <t>Срок кредита не может быть более 30 лет (360 мес.)</t>
  </si>
  <si>
    <t>min ПВ:</t>
  </si>
  <si>
    <t>Сумма кредита, руб.</t>
  </si>
  <si>
    <t>макс. сумма кредита:</t>
  </si>
  <si>
    <t>Срок кредита, лет</t>
  </si>
  <si>
    <t>Стоимость объекта недвижимости, руб.</t>
  </si>
  <si>
    <t>Выбор пользователя:</t>
  </si>
  <si>
    <t>сумма кредита по госке</t>
  </si>
  <si>
    <t>макс сумма кредита</t>
  </si>
  <si>
    <t>Субсидируемая часть кредита, руб.</t>
  </si>
  <si>
    <t>Часть кредита свыше субсидируемой, руб.</t>
  </si>
  <si>
    <t>Ставка на сумму превышения, % годовых</t>
  </si>
  <si>
    <t>Ставка по субсидируемой части кредита, % годовых</t>
  </si>
  <si>
    <t>Итого ставка по договору,%</t>
  </si>
  <si>
    <t>Ставка</t>
  </si>
  <si>
    <t>Максимальная сумма кредита, руб.</t>
  </si>
  <si>
    <t>Программа кредитования на сумму превышения</t>
  </si>
  <si>
    <t>Перспектива</t>
  </si>
  <si>
    <t>Комфорт</t>
  </si>
  <si>
    <t>Мегаполис</t>
  </si>
  <si>
    <t>Отказ от страхования</t>
  </si>
  <si>
    <t>Наличие з/п карты ПАО "АК БАРС" Банк</t>
  </si>
  <si>
    <t>з/п карта</t>
  </si>
  <si>
    <t>эрс</t>
  </si>
  <si>
    <t>итого</t>
  </si>
  <si>
    <t>макс. срок кредита:</t>
  </si>
  <si>
    <t>360 мес.</t>
  </si>
  <si>
    <t>Регион:</t>
  </si>
  <si>
    <t>Процентная ставка, годовых (БПС)</t>
  </si>
  <si>
    <t>Сумма кредита (рубли) до</t>
  </si>
  <si>
    <t>Размер возмещения Застройщиком</t>
  </si>
  <si>
    <t>*</t>
  </si>
  <si>
    <t xml:space="preserve"> * - При выборе IT-ипотеки выбор "в Москве, Моск.обл., Санкт-Петербурге, Лен.обл." соответствует субъектам РФ с численностью 1 млн. чел.и более, выбор "в др.городах" сответствует субъектам РФ с численностью до 1 млн.чел.</t>
  </si>
  <si>
    <t>Москва, Моск.обл., Санкт-Петербург, Лен.обл.</t>
  </si>
  <si>
    <t>др.города</t>
  </si>
  <si>
    <t>Примерный график платежей</t>
  </si>
  <si>
    <t>Месяц</t>
  </si>
  <si>
    <t xml:space="preserve">Остаток </t>
  </si>
  <si>
    <t>Сумма</t>
  </si>
  <si>
    <t>начисленных</t>
  </si>
  <si>
    <t>процентов</t>
  </si>
  <si>
    <t>Погашение</t>
  </si>
  <si>
    <t>основного</t>
  </si>
  <si>
    <t>долга</t>
  </si>
  <si>
    <t>Общая</t>
  </si>
  <si>
    <t>сумма</t>
  </si>
  <si>
    <t>платежа</t>
  </si>
  <si>
    <t>после платежа</t>
  </si>
  <si>
    <t>основного долга</t>
  </si>
  <si>
    <t>с 23.12.2023</t>
  </si>
  <si>
    <t>Госка 2020
ПВ от 30%</t>
  </si>
  <si>
    <t>Семейка
ПВ от 20%</t>
  </si>
  <si>
    <t>Перспектива
ПВ от 20%</t>
  </si>
  <si>
    <t>Мегаполис
ПВ от 20%</t>
  </si>
  <si>
    <t>Ставка клиенту в кальк</t>
  </si>
  <si>
    <t>Ставку надо обновлять при каждом выборе программы и изменении срока действия дисконта!!!</t>
  </si>
  <si>
    <t>Господдержка ИТ ипотека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</si>
</sst>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₽&quot;;[Red]\-#,##0.00\ &quot;₽&quot;"/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  <numFmt numFmtId="167" formatCode="#,##0_ ;\-#,##0\ "/>
    <numFmt numFmtId="168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rgb="FF0033CC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0033CC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rgb="FF0033CC"/>
      <name val="Calibri"/>
      <family val="2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i/>
      <sz val="10"/>
      <color rgb="FF0033CC"/>
      <name val="Calibri"/>
      <family val="2"/>
      <charset val="204"/>
      <scheme val="minor"/>
    </font>
    <font>
      <b/>
      <sz val="9"/>
      <color rgb="FF000000"/>
      <name val="Calibri Light"/>
      <family val="2"/>
      <charset val="204"/>
    </font>
    <font>
      <sz val="9"/>
      <color theme="1"/>
      <name val="Calibri Light"/>
      <family val="2"/>
      <charset val="204"/>
    </font>
    <font>
      <b/>
      <sz val="9"/>
      <color rgb="FFFF0000"/>
      <name val="Calibri Light"/>
      <family val="2"/>
      <charset val="204"/>
    </font>
    <font>
      <sz val="9"/>
      <name val="Calibri Light"/>
      <family val="2"/>
      <charset val="204"/>
    </font>
    <font>
      <sz val="9"/>
      <color rgb="FF0033CC"/>
      <name val="Calibri Light"/>
      <family val="2"/>
      <charset val="204"/>
    </font>
    <font>
      <sz val="11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  <font>
      <b/>
      <i/>
      <sz val="11"/>
      <color theme="0"/>
      <name val="Century Gothic"/>
      <family val="2"/>
      <charset val="204"/>
    </font>
    <font>
      <b/>
      <i/>
      <sz val="10"/>
      <color theme="0"/>
      <name val="Century Gothic"/>
      <family val="2"/>
      <charset val="204"/>
    </font>
    <font>
      <b/>
      <i/>
      <sz val="11"/>
      <color rgb="FFFF0000"/>
      <name val="Century Gothic"/>
      <family val="2"/>
      <charset val="204"/>
    </font>
    <font>
      <i/>
      <sz val="11"/>
      <color theme="1"/>
      <name val="Century Gothic"/>
      <family val="2"/>
      <charset val="204"/>
    </font>
    <font>
      <i/>
      <sz val="10"/>
      <color theme="1"/>
      <name val="Century Gothic"/>
      <family val="2"/>
      <charset val="204"/>
    </font>
    <font>
      <b/>
      <i/>
      <sz val="10"/>
      <color rgb="FFFF0000"/>
      <name val="Century Gothic"/>
      <family val="2"/>
      <charset val="204"/>
    </font>
    <font>
      <b/>
      <i/>
      <sz val="10"/>
      <color rgb="FF00B050"/>
      <name val="Century Gothic"/>
      <family val="2"/>
      <charset val="204"/>
    </font>
    <font>
      <b/>
      <i/>
      <sz val="11"/>
      <color rgb="FF0033CC"/>
      <name val="Century Gothic"/>
      <family val="2"/>
      <charset val="204"/>
    </font>
    <font>
      <b/>
      <i/>
      <u/>
      <sz val="12"/>
      <color theme="1"/>
      <name val="Century Gothic"/>
      <family val="2"/>
      <charset val="204"/>
    </font>
    <font>
      <b/>
      <i/>
      <u/>
      <sz val="10"/>
      <color theme="1"/>
      <name val="Century Gothic"/>
      <family val="2"/>
      <charset val="204"/>
    </font>
    <font>
      <b/>
      <i/>
      <sz val="10"/>
      <color theme="1"/>
      <name val="Century Gothic"/>
      <family val="2"/>
      <charset val="204"/>
    </font>
    <font>
      <sz val="11"/>
      <name val="Century Gothic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Border="1" applyAlignment="1">
      <alignment vertical="center" wrapText="1"/>
    </xf>
    <xf numFmtId="10" fontId="4" fillId="2" borderId="15" xfId="2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4" fillId="6" borderId="22" xfId="0" applyFont="1" applyFill="1" applyBorder="1" applyAlignment="1">
      <alignment horizontal="center" vertical="center" wrapText="1"/>
    </xf>
    <xf numFmtId="10" fontId="5" fillId="0" borderId="18" xfId="2" applyNumberFormat="1" applyFont="1" applyFill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0" fillId="0" borderId="18" xfId="0" applyNumberForma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0" fontId="5" fillId="0" borderId="0" xfId="2" applyNumberFormat="1" applyFont="1" applyFill="1" applyBorder="1" applyAlignment="1">
      <alignment horizontal="center" vertical="center"/>
    </xf>
    <xf numFmtId="0" fontId="0" fillId="0" borderId="0" xfId="0" applyBorder="1"/>
    <xf numFmtId="10" fontId="0" fillId="0" borderId="0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8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7" borderId="0" xfId="0" applyFill="1" applyBorder="1" applyAlignment="1" applyProtection="1">
      <alignment horizontal="right"/>
      <protection locked="0"/>
    </xf>
    <xf numFmtId="0" fontId="0" fillId="7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7" borderId="0" xfId="0" applyFill="1" applyBorder="1" applyProtection="1">
      <protection hidden="1"/>
    </xf>
    <xf numFmtId="164" fontId="7" fillId="9" borderId="0" xfId="1" applyFont="1" applyFill="1" applyBorder="1" applyAlignment="1" applyProtection="1">
      <protection locked="0"/>
    </xf>
    <xf numFmtId="164" fontId="0" fillId="0" borderId="30" xfId="0" applyNumberFormat="1" applyBorder="1" applyProtection="1">
      <protection hidden="1"/>
    </xf>
    <xf numFmtId="164" fontId="0" fillId="0" borderId="37" xfId="0" applyNumberFormat="1" applyBorder="1" applyProtection="1">
      <protection hidden="1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0" fontId="0" fillId="8" borderId="33" xfId="0" applyFill="1" applyBorder="1" applyProtection="1">
      <protection hidden="1"/>
    </xf>
    <xf numFmtId="10" fontId="0" fillId="0" borderId="0" xfId="0" applyNumberForma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10" fontId="0" fillId="8" borderId="33" xfId="0" applyNumberFormat="1" applyFill="1" applyBorder="1" applyProtection="1">
      <protection hidden="1"/>
    </xf>
    <xf numFmtId="164" fontId="0" fillId="8" borderId="33" xfId="0" applyNumberFormat="1" applyFill="1" applyBorder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Fill="1" applyBorder="1" applyAlignment="1">
      <alignment vertical="center"/>
    </xf>
    <xf numFmtId="0" fontId="0" fillId="7" borderId="27" xfId="0" applyFill="1" applyBorder="1" applyProtection="1">
      <protection locked="0"/>
    </xf>
    <xf numFmtId="0" fontId="8" fillId="0" borderId="0" xfId="0" applyFont="1" applyAlignment="1" applyProtection="1">
      <alignment vertical="top" wrapText="1"/>
      <protection hidden="1"/>
    </xf>
    <xf numFmtId="0" fontId="8" fillId="10" borderId="0" xfId="0" applyFont="1" applyFill="1" applyAlignment="1" applyProtection="1">
      <alignment vertical="top" wrapText="1"/>
      <protection hidden="1"/>
    </xf>
    <xf numFmtId="10" fontId="0" fillId="0" borderId="0" xfId="0" applyNumberFormat="1" applyProtection="1">
      <protection locked="0"/>
    </xf>
    <xf numFmtId="0" fontId="0" fillId="0" borderId="0" xfId="0" applyProtection="1"/>
    <xf numFmtId="164" fontId="0" fillId="0" borderId="0" xfId="0" applyNumberFormat="1" applyProtection="1"/>
    <xf numFmtId="10" fontId="0" fillId="0" borderId="0" xfId="0" applyNumberFormat="1" applyProtection="1"/>
    <xf numFmtId="165" fontId="0" fillId="0" borderId="0" xfId="0" applyNumberFormat="1" applyProtection="1"/>
    <xf numFmtId="0" fontId="0" fillId="0" borderId="18" xfId="0" applyBorder="1" applyProtection="1"/>
    <xf numFmtId="10" fontId="0" fillId="0" borderId="0" xfId="2" applyNumberFormat="1" applyFont="1" applyProtection="1"/>
    <xf numFmtId="164" fontId="0" fillId="0" borderId="0" xfId="1" applyFont="1" applyProtection="1"/>
    <xf numFmtId="0" fontId="10" fillId="0" borderId="0" xfId="0" applyFont="1" applyAlignment="1" applyProtection="1">
      <alignment horizontal="left"/>
      <protection locked="0"/>
    </xf>
    <xf numFmtId="0" fontId="0" fillId="7" borderId="0" xfId="0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0" fillId="10" borderId="13" xfId="0" applyFill="1" applyBorder="1" applyAlignment="1" applyProtection="1">
      <alignment horizontal="center"/>
      <protection hidden="1"/>
    </xf>
    <xf numFmtId="0" fontId="0" fillId="10" borderId="13" xfId="0" applyFill="1" applyBorder="1" applyAlignment="1" applyProtection="1">
      <alignment horizontal="left"/>
      <protection hidden="1"/>
    </xf>
    <xf numFmtId="10" fontId="0" fillId="10" borderId="0" xfId="0" applyNumberFormat="1" applyFill="1" applyProtection="1">
      <protection hidden="1"/>
    </xf>
    <xf numFmtId="0" fontId="0" fillId="10" borderId="0" xfId="0" applyFill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10" fontId="9" fillId="0" borderId="0" xfId="2" applyNumberFormat="1" applyFont="1" applyProtection="1">
      <protection hidden="1"/>
    </xf>
    <xf numFmtId="0" fontId="0" fillId="10" borderId="0" xfId="0" applyFill="1" applyAlignment="1" applyProtection="1">
      <alignment vertical="center"/>
      <protection hidden="1"/>
    </xf>
    <xf numFmtId="0" fontId="9" fillId="0" borderId="11" xfId="0" applyFont="1" applyBorder="1" applyAlignment="1" applyProtection="1">
      <alignment horizontal="right"/>
      <protection hidden="1"/>
    </xf>
    <xf numFmtId="10" fontId="9" fillId="0" borderId="11" xfId="2" applyNumberFormat="1" applyFont="1" applyBorder="1" applyProtection="1">
      <protection hidden="1"/>
    </xf>
    <xf numFmtId="10" fontId="9" fillId="0" borderId="0" xfId="0" applyNumberFormat="1" applyFont="1" applyProtection="1">
      <protection hidden="1"/>
    </xf>
    <xf numFmtId="10" fontId="0" fillId="10" borderId="0" xfId="2" applyNumberFormat="1" applyFont="1" applyFill="1" applyProtection="1">
      <protection hidden="1"/>
    </xf>
    <xf numFmtId="10" fontId="0" fillId="0" borderId="0" xfId="2" applyNumberFormat="1" applyFont="1" applyProtection="1">
      <protection hidden="1"/>
    </xf>
    <xf numFmtId="0" fontId="0" fillId="7" borderId="2" xfId="0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0" fillId="7" borderId="25" xfId="0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0" fillId="7" borderId="14" xfId="0" applyFill="1" applyBorder="1" applyProtection="1">
      <protection locked="0"/>
    </xf>
    <xf numFmtId="0" fontId="0" fillId="7" borderId="11" xfId="0" applyFill="1" applyBorder="1" applyProtection="1">
      <protection locked="0"/>
    </xf>
    <xf numFmtId="0" fontId="0" fillId="7" borderId="26" xfId="0" applyFill="1" applyBorder="1" applyProtection="1">
      <protection locked="0"/>
    </xf>
    <xf numFmtId="0" fontId="9" fillId="7" borderId="0" xfId="0" applyFont="1" applyFill="1" applyBorder="1" applyAlignment="1" applyProtection="1">
      <alignment horizontal="left" indent="2"/>
      <protection hidden="1"/>
    </xf>
    <xf numFmtId="0" fontId="9" fillId="7" borderId="0" xfId="0" applyFont="1" applyFill="1" applyBorder="1" applyProtection="1">
      <protection hidden="1"/>
    </xf>
    <xf numFmtId="0" fontId="4" fillId="3" borderId="9" xfId="0" applyFont="1" applyFill="1" applyBorder="1" applyAlignment="1">
      <alignment horizontal="center" vertical="center" wrapText="1"/>
    </xf>
    <xf numFmtId="10" fontId="9" fillId="7" borderId="0" xfId="0" applyNumberFormat="1" applyFont="1" applyFill="1" applyBorder="1" applyAlignment="1" applyProtection="1">
      <alignment horizontal="left"/>
      <protection hidden="1"/>
    </xf>
    <xf numFmtId="10" fontId="0" fillId="0" borderId="0" xfId="2" applyNumberFormat="1" applyFont="1"/>
    <xf numFmtId="10" fontId="4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Border="1"/>
    <xf numFmtId="0" fontId="4" fillId="4" borderId="27" xfId="0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10" fontId="6" fillId="0" borderId="0" xfId="2" applyNumberFormat="1" applyFont="1" applyFill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 wrapText="1"/>
    </xf>
    <xf numFmtId="10" fontId="3" fillId="0" borderId="0" xfId="2" applyNumberFormat="1" applyFont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10" fontId="0" fillId="0" borderId="0" xfId="0" applyNumberFormat="1" applyBorder="1"/>
    <xf numFmtId="0" fontId="4" fillId="6" borderId="2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9" fontId="0" fillId="0" borderId="0" xfId="0" applyNumberFormat="1" applyBorder="1"/>
    <xf numFmtId="164" fontId="0" fillId="0" borderId="0" xfId="0" applyNumberFormat="1" applyProtection="1">
      <protection locked="0"/>
    </xf>
    <xf numFmtId="0" fontId="4" fillId="5" borderId="1" xfId="0" applyFont="1" applyFill="1" applyBorder="1" applyAlignment="1">
      <alignment horizontal="center" vertical="center" wrapText="1"/>
    </xf>
    <xf numFmtId="10" fontId="5" fillId="0" borderId="23" xfId="0" applyNumberFormat="1" applyFont="1" applyFill="1" applyBorder="1" applyAlignment="1">
      <alignment horizontal="center" vertical="center"/>
    </xf>
    <xf numFmtId="10" fontId="5" fillId="0" borderId="24" xfId="0" applyNumberFormat="1" applyFont="1" applyFill="1" applyBorder="1" applyAlignment="1">
      <alignment horizontal="center" vertical="center"/>
    </xf>
    <xf numFmtId="10" fontId="5" fillId="0" borderId="21" xfId="0" applyNumberFormat="1" applyFont="1" applyFill="1" applyBorder="1" applyAlignment="1">
      <alignment horizontal="center" vertical="center"/>
    </xf>
    <xf numFmtId="10" fontId="0" fillId="0" borderId="18" xfId="2" applyNumberFormat="1" applyFont="1" applyBorder="1" applyAlignment="1">
      <alignment horizontal="center" vertical="center"/>
    </xf>
    <xf numFmtId="10" fontId="5" fillId="0" borderId="18" xfId="2" applyNumberFormat="1" applyFont="1" applyFill="1" applyBorder="1" applyAlignment="1">
      <alignment horizontal="center"/>
    </xf>
    <xf numFmtId="10" fontId="0" fillId="0" borderId="18" xfId="2" applyNumberFormat="1" applyFont="1" applyBorder="1" applyAlignment="1">
      <alignment horizontal="center"/>
    </xf>
    <xf numFmtId="10" fontId="0" fillId="0" borderId="18" xfId="2" applyNumberFormat="1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10" fontId="0" fillId="0" borderId="0" xfId="2" applyNumberFormat="1" applyFont="1" applyProtection="1">
      <protection locked="0"/>
    </xf>
    <xf numFmtId="9" fontId="0" fillId="0" borderId="0" xfId="0" applyNumberFormat="1"/>
    <xf numFmtId="0" fontId="0" fillId="0" borderId="0" xfId="0" applyAlignment="1">
      <alignment horizontal="right"/>
    </xf>
    <xf numFmtId="0" fontId="8" fillId="8" borderId="0" xfId="0" applyFont="1" applyFill="1"/>
    <xf numFmtId="0" fontId="8" fillId="8" borderId="0" xfId="0" applyFont="1" applyFill="1" applyAlignment="1">
      <alignment horizontal="right"/>
    </xf>
    <xf numFmtId="166" fontId="0" fillId="0" borderId="0" xfId="0" applyNumberFormat="1"/>
    <xf numFmtId="0" fontId="8" fillId="8" borderId="0" xfId="0" applyFont="1" applyFill="1" applyAlignment="1">
      <alignment horizontal="center" vertical="center" wrapText="1"/>
    </xf>
    <xf numFmtId="0" fontId="0" fillId="0" borderId="0" xfId="0" applyAlignment="1" applyProtection="1">
      <alignment horizontal="left" indent="1"/>
      <protection hidden="1"/>
    </xf>
    <xf numFmtId="10" fontId="13" fillId="0" borderId="0" xfId="0" applyNumberFormat="1" applyFont="1" applyProtection="1">
      <protection hidden="1"/>
    </xf>
    <xf numFmtId="164" fontId="13" fillId="0" borderId="0" xfId="1" applyFont="1"/>
    <xf numFmtId="166" fontId="13" fillId="0" borderId="0" xfId="0" applyNumberFormat="1" applyFont="1"/>
    <xf numFmtId="164" fontId="0" fillId="0" borderId="0" xfId="0" applyNumberFormat="1"/>
    <xf numFmtId="0" fontId="14" fillId="0" borderId="0" xfId="0" applyFont="1"/>
    <xf numFmtId="165" fontId="15" fillId="0" borderId="0" xfId="1" applyNumberFormat="1" applyFont="1" applyProtection="1"/>
    <xf numFmtId="0" fontId="15" fillId="0" borderId="0" xfId="0" applyFont="1"/>
    <xf numFmtId="164" fontId="15" fillId="0" borderId="0" xfId="0" applyNumberFormat="1" applyFont="1"/>
    <xf numFmtId="10" fontId="15" fillId="0" borderId="0" xfId="2" applyNumberFormat="1" applyFont="1"/>
    <xf numFmtId="165" fontId="15" fillId="0" borderId="0" xfId="0" applyNumberFormat="1" applyFont="1" applyProtection="1"/>
    <xf numFmtId="0" fontId="15" fillId="0" borderId="0" xfId="0" applyFont="1" applyAlignment="1">
      <alignment horizontal="right"/>
    </xf>
    <xf numFmtId="10" fontId="15" fillId="0" borderId="0" xfId="0" applyNumberFormat="1" applyFont="1" applyProtection="1"/>
    <xf numFmtId="0" fontId="15" fillId="0" borderId="0" xfId="0" applyFont="1" applyAlignment="1" applyProtection="1">
      <alignment horizontal="right"/>
    </xf>
    <xf numFmtId="165" fontId="13" fillId="0" borderId="0" xfId="1" applyNumberFormat="1" applyFont="1" applyProtection="1">
      <protection hidden="1"/>
    </xf>
    <xf numFmtId="164" fontId="16" fillId="0" borderId="0" xfId="1" applyFont="1"/>
    <xf numFmtId="166" fontId="16" fillId="0" borderId="0" xfId="0" applyNumberFormat="1" applyFont="1"/>
    <xf numFmtId="10" fontId="15" fillId="0" borderId="0" xfId="2" applyNumberFormat="1" applyFont="1" applyAlignment="1">
      <alignment horizontal="left"/>
    </xf>
    <xf numFmtId="164" fontId="8" fillId="0" borderId="0" xfId="0" applyNumberFormat="1" applyFont="1" applyAlignment="1">
      <alignment horizontal="right"/>
    </xf>
    <xf numFmtId="0" fontId="0" fillId="7" borderId="7" xfId="0" applyFill="1" applyBorder="1" applyAlignment="1" applyProtection="1">
      <alignment horizontal="right"/>
      <protection locked="0"/>
    </xf>
    <xf numFmtId="167" fontId="15" fillId="0" borderId="0" xfId="1" applyNumberFormat="1" applyFont="1" applyAlignment="1" applyProtection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10" fontId="0" fillId="0" borderId="18" xfId="2" applyNumberFormat="1" applyFont="1" applyBorder="1"/>
    <xf numFmtId="0" fontId="12" fillId="4" borderId="1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10" fontId="0" fillId="0" borderId="18" xfId="0" applyNumberFormat="1" applyBorder="1"/>
    <xf numFmtId="10" fontId="5" fillId="0" borderId="17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0" fontId="0" fillId="0" borderId="45" xfId="0" applyNumberFormat="1" applyBorder="1" applyAlignment="1">
      <alignment horizontal="center" vertical="center"/>
    </xf>
    <xf numFmtId="10" fontId="0" fillId="0" borderId="45" xfId="0" applyNumberFormat="1" applyFill="1" applyBorder="1" applyAlignment="1">
      <alignment horizontal="center" vertical="center"/>
    </xf>
    <xf numFmtId="10" fontId="0" fillId="0" borderId="18" xfId="0" applyNumberFormat="1" applyFill="1" applyBorder="1"/>
    <xf numFmtId="10" fontId="1" fillId="0" borderId="18" xfId="2" applyNumberFormat="1" applyFont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 wrapText="1"/>
    </xf>
    <xf numFmtId="10" fontId="13" fillId="0" borderId="0" xfId="0" applyNumberFormat="1" applyFont="1"/>
    <xf numFmtId="0" fontId="8" fillId="0" borderId="0" xfId="0" applyFont="1" applyAlignment="1">
      <alignment wrapText="1"/>
    </xf>
    <xf numFmtId="0" fontId="8" fillId="0" borderId="13" xfId="0" applyFont="1" applyBorder="1" applyAlignment="1">
      <alignment wrapText="1"/>
    </xf>
    <xf numFmtId="0" fontId="0" fillId="0" borderId="11" xfId="0" applyBorder="1" applyProtection="1">
      <protection locked="0"/>
    </xf>
    <xf numFmtId="0" fontId="0" fillId="8" borderId="0" xfId="0" applyFill="1" applyProtection="1">
      <protection hidden="1"/>
    </xf>
    <xf numFmtId="0" fontId="8" fillId="10" borderId="0" xfId="0" applyFont="1" applyFill="1" applyProtection="1">
      <protection hidden="1"/>
    </xf>
    <xf numFmtId="0" fontId="8" fillId="7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8" fillId="8" borderId="13" xfId="0" applyFont="1" applyFill="1" applyBorder="1" applyAlignment="1" applyProtection="1">
      <alignment wrapText="1"/>
      <protection hidden="1"/>
    </xf>
    <xf numFmtId="0" fontId="8" fillId="10" borderId="13" xfId="0" applyFont="1" applyFill="1" applyBorder="1" applyAlignment="1" applyProtection="1">
      <alignment wrapText="1"/>
      <protection hidden="1"/>
    </xf>
    <xf numFmtId="0" fontId="18" fillId="7" borderId="13" xfId="0" applyFont="1" applyFill="1" applyBorder="1" applyAlignment="1" applyProtection="1">
      <alignment vertical="center" wrapText="1"/>
      <protection hidden="1"/>
    </xf>
    <xf numFmtId="9" fontId="7" fillId="7" borderId="0" xfId="2" applyFont="1" applyFill="1" applyProtection="1">
      <protection hidden="1"/>
    </xf>
    <xf numFmtId="10" fontId="7" fillId="7" borderId="0" xfId="2" applyNumberFormat="1" applyFont="1" applyFill="1" applyProtection="1">
      <protection hidden="1"/>
    </xf>
    <xf numFmtId="0" fontId="0" fillId="0" borderId="13" xfId="0" applyBorder="1" applyProtection="1">
      <protection hidden="1"/>
    </xf>
    <xf numFmtId="0" fontId="8" fillId="0" borderId="13" xfId="0" applyFont="1" applyBorder="1" applyAlignment="1" applyProtection="1">
      <alignment wrapText="1"/>
      <protection hidden="1"/>
    </xf>
    <xf numFmtId="9" fontId="0" fillId="0" borderId="0" xfId="0" applyNumberFormat="1" applyProtection="1">
      <protection hidden="1"/>
    </xf>
    <xf numFmtId="0" fontId="17" fillId="0" borderId="0" xfId="0" applyFont="1" applyProtection="1">
      <protection hidden="1"/>
    </xf>
    <xf numFmtId="4" fontId="22" fillId="0" borderId="0" xfId="0" applyNumberFormat="1" applyFont="1" applyBorder="1" applyAlignment="1">
      <alignment horizontal="justify" vertical="center" wrapText="1"/>
    </xf>
    <xf numFmtId="10" fontId="22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10" fontId="21" fillId="0" borderId="0" xfId="0" applyNumberFormat="1" applyFont="1" applyBorder="1" applyAlignment="1">
      <alignment vertical="center" wrapText="1"/>
    </xf>
    <xf numFmtId="10" fontId="22" fillId="0" borderId="0" xfId="0" applyNumberFormat="1" applyFont="1" applyBorder="1" applyAlignment="1">
      <alignment vertical="center" wrapText="1"/>
    </xf>
    <xf numFmtId="0" fontId="19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horizontal="justify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wrapText="1"/>
    </xf>
    <xf numFmtId="4" fontId="23" fillId="0" borderId="0" xfId="0" applyNumberFormat="1" applyFont="1" applyBorder="1" applyAlignment="1">
      <alignment horizontal="justify" vertical="center" wrapText="1"/>
    </xf>
    <xf numFmtId="0" fontId="16" fillId="0" borderId="0" xfId="0" applyFont="1"/>
    <xf numFmtId="0" fontId="25" fillId="7" borderId="0" xfId="0" applyFont="1" applyFill="1" applyBorder="1" applyAlignment="1" applyProtection="1">
      <alignment horizontal="right"/>
    </xf>
    <xf numFmtId="0" fontId="24" fillId="7" borderId="7" xfId="0" applyFont="1" applyFill="1" applyBorder="1" applyProtection="1">
      <protection locked="0"/>
    </xf>
    <xf numFmtId="0" fontId="24" fillId="10" borderId="31" xfId="0" applyFont="1" applyFill="1" applyBorder="1" applyProtection="1"/>
    <xf numFmtId="0" fontId="25" fillId="10" borderId="31" xfId="0" applyFont="1" applyFill="1" applyBorder="1" applyAlignment="1" applyProtection="1">
      <alignment horizontal="center" vertical="center" wrapText="1"/>
    </xf>
    <xf numFmtId="0" fontId="24" fillId="7" borderId="27" xfId="0" applyFont="1" applyFill="1" applyBorder="1" applyProtection="1">
      <protection locked="0"/>
    </xf>
    <xf numFmtId="0" fontId="24" fillId="0" borderId="0" xfId="0" applyFont="1" applyProtection="1">
      <protection locked="0"/>
    </xf>
    <xf numFmtId="0" fontId="24" fillId="0" borderId="31" xfId="0" applyFont="1" applyFill="1" applyBorder="1" applyAlignment="1" applyProtection="1">
      <alignment horizontal="right"/>
    </xf>
    <xf numFmtId="10" fontId="24" fillId="0" borderId="31" xfId="2" applyNumberFormat="1" applyFont="1" applyFill="1" applyBorder="1" applyAlignment="1" applyProtection="1">
      <alignment horizontal="right"/>
    </xf>
    <xf numFmtId="164" fontId="24" fillId="0" borderId="31" xfId="1" applyFont="1" applyFill="1" applyBorder="1" applyAlignment="1" applyProtection="1">
      <alignment horizontal="right"/>
    </xf>
    <xf numFmtId="0" fontId="24" fillId="7" borderId="0" xfId="0" applyFont="1" applyFill="1" applyBorder="1" applyProtection="1">
      <protection locked="0"/>
    </xf>
    <xf numFmtId="0" fontId="28" fillId="7" borderId="0" xfId="0" applyFont="1" applyFill="1" applyBorder="1" applyProtection="1">
      <protection hidden="1"/>
    </xf>
    <xf numFmtId="8" fontId="24" fillId="7" borderId="0" xfId="0" applyNumberFormat="1" applyFont="1" applyFill="1" applyBorder="1" applyProtection="1">
      <protection locked="0"/>
    </xf>
    <xf numFmtId="0" fontId="24" fillId="7" borderId="14" xfId="0" applyFont="1" applyFill="1" applyBorder="1" applyProtection="1">
      <protection locked="0"/>
    </xf>
    <xf numFmtId="0" fontId="24" fillId="7" borderId="11" xfId="0" applyFont="1" applyFill="1" applyBorder="1" applyProtection="1">
      <protection locked="0"/>
    </xf>
    <xf numFmtId="0" fontId="24" fillId="7" borderId="26" xfId="0" applyFont="1" applyFill="1" applyBorder="1" applyProtection="1">
      <protection locked="0"/>
    </xf>
    <xf numFmtId="0" fontId="30" fillId="7" borderId="0" xfId="0" applyFont="1" applyFill="1" applyBorder="1" applyAlignment="1" applyProtection="1">
      <alignment horizontal="left" indent="2"/>
      <protection hidden="1"/>
    </xf>
    <xf numFmtId="0" fontId="25" fillId="10" borderId="31" xfId="0" applyFont="1" applyFill="1" applyBorder="1" applyProtection="1"/>
    <xf numFmtId="0" fontId="25" fillId="0" borderId="31" xfId="0" applyFont="1" applyFill="1" applyBorder="1" applyAlignment="1" applyProtection="1">
      <alignment horizontal="right"/>
    </xf>
    <xf numFmtId="0" fontId="31" fillId="7" borderId="0" xfId="0" applyFont="1" applyFill="1" applyBorder="1" applyProtection="1">
      <protection hidden="1"/>
    </xf>
    <xf numFmtId="0" fontId="30" fillId="7" borderId="0" xfId="0" applyFont="1" applyFill="1" applyBorder="1" applyProtection="1"/>
    <xf numFmtId="0" fontId="32" fillId="7" borderId="0" xfId="0" applyFont="1" applyFill="1" applyBorder="1" applyProtection="1">
      <protection locked="0"/>
    </xf>
    <xf numFmtId="0" fontId="24" fillId="7" borderId="5" xfId="0" applyFont="1" applyFill="1" applyBorder="1" applyProtection="1">
      <protection locked="0"/>
    </xf>
    <xf numFmtId="0" fontId="24" fillId="7" borderId="0" xfId="0" applyFont="1" applyFill="1" applyBorder="1" applyProtection="1">
      <protection hidden="1"/>
    </xf>
    <xf numFmtId="164" fontId="33" fillId="9" borderId="0" xfId="1" applyFont="1" applyFill="1" applyBorder="1" applyAlignment="1" applyProtection="1">
      <protection locked="0"/>
    </xf>
    <xf numFmtId="0" fontId="30" fillId="7" borderId="0" xfId="0" applyFont="1" applyFill="1" applyBorder="1" applyProtection="1">
      <protection hidden="1"/>
    </xf>
    <xf numFmtId="0" fontId="28" fillId="7" borderId="0" xfId="0" applyFont="1" applyFill="1" applyBorder="1" applyAlignment="1" applyProtection="1">
      <alignment horizontal="left" indent="2"/>
      <protection hidden="1"/>
    </xf>
    <xf numFmtId="0" fontId="28" fillId="7" borderId="0" xfId="0" applyFont="1" applyFill="1" applyBorder="1" applyAlignment="1" applyProtection="1">
      <alignment horizontal="left" indent="1"/>
      <protection hidden="1"/>
    </xf>
    <xf numFmtId="0" fontId="30" fillId="7" borderId="42" xfId="0" applyFont="1" applyFill="1" applyBorder="1" applyAlignment="1" applyProtection="1">
      <alignment horizontal="left" vertical="top" wrapText="1"/>
      <protection hidden="1"/>
    </xf>
    <xf numFmtId="0" fontId="25" fillId="7" borderId="0" xfId="0" applyFont="1" applyFill="1" applyBorder="1" applyProtection="1">
      <protection hidden="1"/>
    </xf>
    <xf numFmtId="0" fontId="25" fillId="7" borderId="0" xfId="0" applyFont="1" applyFill="1" applyBorder="1" applyProtection="1">
      <protection locked="0"/>
    </xf>
    <xf numFmtId="0" fontId="35" fillId="7" borderId="0" xfId="0" applyFont="1" applyFill="1" applyBorder="1" applyProtection="1">
      <protection locked="0"/>
    </xf>
    <xf numFmtId="10" fontId="36" fillId="7" borderId="0" xfId="0" applyNumberFormat="1" applyFont="1" applyFill="1" applyBorder="1" applyAlignment="1" applyProtection="1">
      <alignment horizontal="left" vertical="center"/>
      <protection hidden="1"/>
    </xf>
    <xf numFmtId="0" fontId="25" fillId="0" borderId="0" xfId="0" applyFont="1" applyProtection="1">
      <protection locked="0"/>
    </xf>
    <xf numFmtId="10" fontId="36" fillId="7" borderId="0" xfId="0" applyNumberFormat="1" applyFont="1" applyFill="1" applyBorder="1" applyAlignment="1" applyProtection="1">
      <alignment vertical="center"/>
      <protection hidden="1"/>
    </xf>
    <xf numFmtId="0" fontId="25" fillId="7" borderId="0" xfId="0" applyFont="1" applyFill="1" applyBorder="1" applyAlignment="1" applyProtection="1">
      <alignment horizontal="right"/>
      <protection locked="0"/>
    </xf>
    <xf numFmtId="0" fontId="16" fillId="7" borderId="7" xfId="0" applyFont="1" applyFill="1" applyBorder="1" applyProtection="1">
      <protection locked="0"/>
    </xf>
    <xf numFmtId="0" fontId="37" fillId="0" borderId="31" xfId="0" applyFont="1" applyFill="1" applyBorder="1" applyAlignment="1" applyProtection="1">
      <alignment horizontal="right"/>
    </xf>
    <xf numFmtId="10" fontId="37" fillId="0" borderId="31" xfId="2" applyNumberFormat="1" applyFont="1" applyFill="1" applyBorder="1" applyAlignment="1" applyProtection="1">
      <alignment horizontal="right"/>
    </xf>
    <xf numFmtId="164" fontId="37" fillId="0" borderId="31" xfId="1" applyFont="1" applyFill="1" applyBorder="1" applyAlignment="1" applyProtection="1">
      <alignment horizontal="right"/>
    </xf>
    <xf numFmtId="0" fontId="16" fillId="7" borderId="27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24" fillId="7" borderId="2" xfId="0" applyFont="1" applyFill="1" applyBorder="1" applyProtection="1">
      <protection locked="0"/>
    </xf>
    <xf numFmtId="0" fontId="24" fillId="7" borderId="25" xfId="0" applyFont="1" applyFill="1" applyBorder="1" applyProtection="1">
      <protection locked="0"/>
    </xf>
    <xf numFmtId="0" fontId="24" fillId="7" borderId="0" xfId="0" applyFont="1" applyFill="1" applyBorder="1" applyAlignment="1" applyProtection="1">
      <alignment horizontal="right"/>
      <protection hidden="1"/>
    </xf>
    <xf numFmtId="10" fontId="29" fillId="7" borderId="0" xfId="0" applyNumberFormat="1" applyFont="1" applyFill="1" applyBorder="1" applyProtection="1">
      <protection hidden="1"/>
    </xf>
    <xf numFmtId="168" fontId="30" fillId="7" borderId="0" xfId="0" applyNumberFormat="1" applyFont="1" applyFill="1" applyBorder="1" applyAlignment="1" applyProtection="1">
      <alignment horizontal="right"/>
      <protection hidden="1"/>
    </xf>
    <xf numFmtId="164" fontId="24" fillId="7" borderId="0" xfId="0" applyNumberFormat="1" applyFont="1" applyFill="1" applyBorder="1" applyProtection="1">
      <protection locked="0"/>
    </xf>
    <xf numFmtId="10" fontId="24" fillId="7" borderId="0" xfId="2" applyNumberFormat="1" applyFont="1" applyFill="1" applyBorder="1" applyAlignment="1" applyProtection="1">
      <alignment horizontal="right"/>
      <protection hidden="1"/>
    </xf>
    <xf numFmtId="0" fontId="25" fillId="7" borderId="0" xfId="0" applyFont="1" applyFill="1" applyBorder="1" applyAlignment="1" applyProtection="1">
      <alignment horizontal="right"/>
      <protection hidden="1"/>
    </xf>
    <xf numFmtId="0" fontId="34" fillId="7" borderId="0" xfId="0" applyFont="1" applyFill="1" applyBorder="1" applyAlignment="1" applyProtection="1">
      <alignment horizontal="right"/>
      <protection hidden="1"/>
    </xf>
    <xf numFmtId="164" fontId="29" fillId="7" borderId="0" xfId="1" applyFont="1" applyFill="1" applyBorder="1" applyAlignment="1" applyProtection="1">
      <alignment horizontal="left"/>
      <protection hidden="1"/>
    </xf>
    <xf numFmtId="164" fontId="29" fillId="7" borderId="0" xfId="1" applyFont="1" applyFill="1" applyBorder="1" applyAlignment="1" applyProtection="1">
      <alignment horizontal="right"/>
      <protection hidden="1"/>
    </xf>
    <xf numFmtId="0" fontId="25" fillId="7" borderId="0" xfId="0" applyFont="1" applyFill="1" applyBorder="1" applyAlignment="1" applyProtection="1">
      <alignment horizontal="right" vertical="center"/>
    </xf>
    <xf numFmtId="0" fontId="25" fillId="7" borderId="0" xfId="0" applyFont="1" applyFill="1" applyBorder="1" applyAlignment="1" applyProtection="1">
      <alignment horizontal="right" vertical="center"/>
      <protection hidden="1"/>
    </xf>
    <xf numFmtId="0" fontId="24" fillId="7" borderId="0" xfId="0" applyFont="1" applyFill="1" applyBorder="1" applyAlignment="1" applyProtection="1">
      <alignment vertical="center"/>
      <protection locked="0"/>
    </xf>
    <xf numFmtId="0" fontId="0" fillId="7" borderId="2" xfId="0" applyFill="1" applyBorder="1" applyProtection="1">
      <protection hidden="1"/>
    </xf>
    <xf numFmtId="0" fontId="0" fillId="7" borderId="5" xfId="0" applyFill="1" applyBorder="1" applyProtection="1">
      <protection hidden="1"/>
    </xf>
    <xf numFmtId="0" fontId="0" fillId="7" borderId="25" xfId="0" applyFill="1" applyBorder="1" applyProtection="1">
      <protection hidden="1"/>
    </xf>
    <xf numFmtId="0" fontId="38" fillId="7" borderId="7" xfId="0" applyFont="1" applyFill="1" applyBorder="1" applyProtection="1">
      <protection hidden="1"/>
    </xf>
    <xf numFmtId="0" fontId="38" fillId="7" borderId="0" xfId="0" applyFont="1" applyFill="1" applyBorder="1" applyProtection="1">
      <protection hidden="1"/>
    </xf>
    <xf numFmtId="0" fontId="0" fillId="7" borderId="27" xfId="0" applyFill="1" applyBorder="1" applyProtection="1">
      <protection hidden="1"/>
    </xf>
    <xf numFmtId="0" fontId="0" fillId="7" borderId="7" xfId="0" applyFill="1" applyBorder="1" applyProtection="1">
      <protection hidden="1"/>
    </xf>
    <xf numFmtId="164" fontId="0" fillId="7" borderId="0" xfId="1" applyFont="1" applyFill="1" applyBorder="1" applyProtection="1">
      <protection hidden="1"/>
    </xf>
    <xf numFmtId="164" fontId="0" fillId="7" borderId="0" xfId="0" applyNumberFormat="1" applyFill="1" applyBorder="1" applyProtection="1">
      <protection hidden="1"/>
    </xf>
    <xf numFmtId="8" fontId="0" fillId="7" borderId="0" xfId="0" applyNumberFormat="1" applyFill="1" applyBorder="1" applyProtection="1">
      <protection hidden="1"/>
    </xf>
    <xf numFmtId="0" fontId="0" fillId="7" borderId="14" xfId="0" applyFill="1" applyBorder="1" applyProtection="1">
      <protection hidden="1"/>
    </xf>
    <xf numFmtId="0" fontId="0" fillId="7" borderId="11" xfId="0" applyFill="1" applyBorder="1" applyProtection="1">
      <protection hidden="1"/>
    </xf>
    <xf numFmtId="164" fontId="0" fillId="7" borderId="11" xfId="0" applyNumberFormat="1" applyFill="1" applyBorder="1" applyProtection="1">
      <protection hidden="1"/>
    </xf>
    <xf numFmtId="164" fontId="0" fillId="7" borderId="11" xfId="1" applyFont="1" applyFill="1" applyBorder="1" applyProtection="1">
      <protection hidden="1"/>
    </xf>
    <xf numFmtId="0" fontId="0" fillId="7" borderId="26" xfId="0" applyFill="1" applyBorder="1" applyProtection="1">
      <protection hidden="1"/>
    </xf>
    <xf numFmtId="0" fontId="0" fillId="7" borderId="48" xfId="0" applyFill="1" applyBorder="1" applyAlignment="1" applyProtection="1">
      <alignment horizontal="center"/>
      <protection hidden="1"/>
    </xf>
    <xf numFmtId="0" fontId="0" fillId="7" borderId="49" xfId="0" applyFill="1" applyBorder="1" applyAlignment="1" applyProtection="1">
      <alignment horizontal="center"/>
      <protection hidden="1"/>
    </xf>
    <xf numFmtId="0" fontId="0" fillId="7" borderId="50" xfId="0" applyFill="1" applyBorder="1" applyAlignment="1" applyProtection="1">
      <alignment horizontal="center"/>
      <protection hidden="1"/>
    </xf>
    <xf numFmtId="10" fontId="5" fillId="0" borderId="18" xfId="0" applyNumberFormat="1" applyFont="1" applyBorder="1" applyAlignment="1">
      <alignment horizontal="center" vertical="center"/>
    </xf>
    <xf numFmtId="10" fontId="5" fillId="0" borderId="21" xfId="2" applyNumberFormat="1" applyFont="1" applyFill="1" applyBorder="1" applyAlignment="1">
      <alignment horizontal="center" vertical="center"/>
    </xf>
    <xf numFmtId="10" fontId="5" fillId="0" borderId="18" xfId="2" applyNumberFormat="1" applyFont="1" applyBorder="1" applyAlignment="1">
      <alignment horizontal="center" vertical="center"/>
    </xf>
    <xf numFmtId="10" fontId="5" fillId="0" borderId="18" xfId="2" applyNumberFormat="1" applyFont="1" applyBorder="1" applyAlignment="1">
      <alignment horizontal="center"/>
    </xf>
    <xf numFmtId="165" fontId="16" fillId="0" borderId="0" xfId="1" applyNumberFormat="1" applyFont="1" applyProtection="1">
      <protection hidden="1"/>
    </xf>
    <xf numFmtId="10" fontId="39" fillId="3" borderId="21" xfId="0" applyNumberFormat="1" applyFont="1" applyFill="1" applyBorder="1" applyAlignment="1">
      <alignment horizontal="center" vertical="center"/>
    </xf>
    <xf numFmtId="10" fontId="39" fillId="0" borderId="18" xfId="0" applyNumberFormat="1" applyFont="1" applyBorder="1" applyAlignment="1">
      <alignment horizontal="center" vertical="center"/>
    </xf>
    <xf numFmtId="10" fontId="39" fillId="2" borderId="21" xfId="0" applyNumberFormat="1" applyFont="1" applyFill="1" applyBorder="1" applyAlignment="1">
      <alignment horizontal="center" vertical="center"/>
    </xf>
    <xf numFmtId="9" fontId="11" fillId="0" borderId="0" xfId="0" applyNumberFormat="1" applyFont="1"/>
    <xf numFmtId="10" fontId="9" fillId="0" borderId="0" xfId="0" applyNumberFormat="1" applyFont="1" applyProtection="1">
      <protection locked="0"/>
    </xf>
    <xf numFmtId="166" fontId="9" fillId="0" borderId="0" xfId="2" applyNumberFormat="1" applyFont="1" applyProtection="1">
      <protection locked="0"/>
    </xf>
    <xf numFmtId="0" fontId="28" fillId="7" borderId="0" xfId="0" applyFont="1" applyFill="1" applyBorder="1" applyProtection="1">
      <protection locked="0"/>
    </xf>
    <xf numFmtId="0" fontId="14" fillId="8" borderId="0" xfId="0" applyFont="1" applyFill="1"/>
    <xf numFmtId="0" fontId="20" fillId="8" borderId="0" xfId="0" applyFont="1" applyFill="1" applyBorder="1" applyAlignment="1">
      <alignment vertical="center" wrapText="1"/>
    </xf>
    <xf numFmtId="4" fontId="22" fillId="8" borderId="0" xfId="0" applyNumberFormat="1" applyFont="1" applyFill="1" applyBorder="1" applyAlignment="1">
      <alignment horizontal="justify" vertical="center" wrapText="1"/>
    </xf>
    <xf numFmtId="10" fontId="22" fillId="8" borderId="0" xfId="0" applyNumberFormat="1" applyFont="1" applyFill="1" applyBorder="1" applyAlignment="1">
      <alignment vertical="center" wrapText="1"/>
    </xf>
    <xf numFmtId="10" fontId="22" fillId="8" borderId="0" xfId="0" applyNumberFormat="1" applyFont="1" applyFill="1" applyBorder="1" applyAlignment="1">
      <alignment horizontal="center" vertical="center" wrapText="1"/>
    </xf>
    <xf numFmtId="0" fontId="0" fillId="8" borderId="0" xfId="0" applyFill="1"/>
    <xf numFmtId="4" fontId="23" fillId="8" borderId="0" xfId="0" applyNumberFormat="1" applyFont="1" applyFill="1" applyBorder="1" applyAlignment="1">
      <alignment horizontal="justify" vertical="center" wrapText="1"/>
    </xf>
    <xf numFmtId="0" fontId="16" fillId="8" borderId="0" xfId="0" applyFont="1" applyFill="1"/>
    <xf numFmtId="0" fontId="0" fillId="8" borderId="0" xfId="0" applyFont="1" applyFill="1" applyBorder="1" applyAlignment="1">
      <alignment vertical="center" wrapText="1"/>
    </xf>
    <xf numFmtId="0" fontId="14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0" fontId="4" fillId="3" borderId="16" xfId="2" applyNumberFormat="1" applyFont="1" applyFill="1" applyBorder="1" applyAlignment="1">
      <alignment horizontal="center" vertical="center" wrapText="1"/>
    </xf>
    <xf numFmtId="10" fontId="4" fillId="3" borderId="17" xfId="2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10" fontId="4" fillId="4" borderId="28" xfId="2" applyNumberFormat="1" applyFont="1" applyFill="1" applyBorder="1" applyAlignment="1">
      <alignment horizontal="center" vertical="center" wrapText="1"/>
    </xf>
    <xf numFmtId="10" fontId="4" fillId="4" borderId="29" xfId="2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10" fontId="4" fillId="5" borderId="28" xfId="2" applyNumberFormat="1" applyFont="1" applyFill="1" applyBorder="1" applyAlignment="1">
      <alignment horizontal="center" vertical="center" wrapText="1"/>
    </xf>
    <xf numFmtId="10" fontId="4" fillId="5" borderId="29" xfId="2" applyNumberFormat="1" applyFont="1" applyFill="1" applyBorder="1" applyAlignment="1">
      <alignment horizontal="center" vertical="center" wrapText="1"/>
    </xf>
    <xf numFmtId="10" fontId="4" fillId="6" borderId="19" xfId="2" applyNumberFormat="1" applyFont="1" applyFill="1" applyBorder="1" applyAlignment="1">
      <alignment horizontal="center" vertical="center" wrapText="1"/>
    </xf>
    <xf numFmtId="10" fontId="4" fillId="6" borderId="12" xfId="2" applyNumberFormat="1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0" fontId="4" fillId="3" borderId="30" xfId="2" applyNumberFormat="1" applyFont="1" applyFill="1" applyBorder="1" applyAlignment="1">
      <alignment horizontal="center" vertical="center" wrapText="1"/>
    </xf>
    <xf numFmtId="10" fontId="4" fillId="3" borderId="38" xfId="2" applyNumberFormat="1" applyFont="1" applyFill="1" applyBorder="1" applyAlignment="1">
      <alignment horizontal="center" vertical="center" wrapText="1"/>
    </xf>
    <xf numFmtId="10" fontId="4" fillId="3" borderId="37" xfId="2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0" fontId="4" fillId="2" borderId="30" xfId="2" applyNumberFormat="1" applyFont="1" applyFill="1" applyBorder="1" applyAlignment="1">
      <alignment horizontal="center" vertical="center" wrapText="1"/>
    </xf>
    <xf numFmtId="10" fontId="4" fillId="2" borderId="38" xfId="2" applyNumberFormat="1" applyFont="1" applyFill="1" applyBorder="1" applyAlignment="1">
      <alignment horizontal="center" vertical="center" wrapText="1"/>
    </xf>
    <xf numFmtId="10" fontId="4" fillId="2" borderId="37" xfId="2" applyNumberFormat="1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0" fontId="4" fillId="4" borderId="30" xfId="2" applyNumberFormat="1" applyFont="1" applyFill="1" applyBorder="1" applyAlignment="1">
      <alignment horizontal="center" vertical="center" wrapText="1"/>
    </xf>
    <xf numFmtId="10" fontId="4" fillId="4" borderId="38" xfId="2" applyNumberFormat="1" applyFont="1" applyFill="1" applyBorder="1" applyAlignment="1">
      <alignment horizontal="center" vertical="center" wrapText="1"/>
    </xf>
    <xf numFmtId="10" fontId="4" fillId="4" borderId="37" xfId="2" applyNumberFormat="1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10" fontId="4" fillId="6" borderId="30" xfId="0" applyNumberFormat="1" applyFont="1" applyFill="1" applyBorder="1" applyAlignment="1">
      <alignment horizontal="center" vertical="center" wrapText="1"/>
    </xf>
    <xf numFmtId="10" fontId="4" fillId="6" borderId="38" xfId="0" applyNumberFormat="1" applyFont="1" applyFill="1" applyBorder="1" applyAlignment="1">
      <alignment horizontal="center" vertical="center" wrapText="1"/>
    </xf>
    <xf numFmtId="10" fontId="4" fillId="6" borderId="37" xfId="0" applyNumberFormat="1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10" fontId="4" fillId="5" borderId="30" xfId="2" applyNumberFormat="1" applyFont="1" applyFill="1" applyBorder="1" applyAlignment="1">
      <alignment horizontal="center" vertical="center" wrapText="1"/>
    </xf>
    <xf numFmtId="10" fontId="4" fillId="5" borderId="38" xfId="2" applyNumberFormat="1" applyFont="1" applyFill="1" applyBorder="1" applyAlignment="1">
      <alignment horizontal="center" vertical="center" wrapText="1"/>
    </xf>
    <xf numFmtId="10" fontId="4" fillId="5" borderId="37" xfId="2" applyNumberFormat="1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0" fillId="10" borderId="0" xfId="0" applyFill="1" applyAlignment="1" applyProtection="1">
      <alignment horizontal="center"/>
      <protection hidden="1"/>
    </xf>
    <xf numFmtId="164" fontId="26" fillId="9" borderId="35" xfId="1" applyFont="1" applyFill="1" applyBorder="1" applyAlignment="1" applyProtection="1">
      <alignment horizontal="center"/>
      <protection locked="0"/>
    </xf>
    <xf numFmtId="164" fontId="26" fillId="9" borderId="36" xfId="1" applyFont="1" applyFill="1" applyBorder="1" applyAlignment="1" applyProtection="1">
      <alignment horizontal="center"/>
      <protection locked="0"/>
    </xf>
    <xf numFmtId="164" fontId="27" fillId="9" borderId="35" xfId="1" applyFont="1" applyFill="1" applyBorder="1" applyAlignment="1" applyProtection="1">
      <alignment horizontal="left" vertical="center" wrapText="1"/>
      <protection locked="0"/>
    </xf>
    <xf numFmtId="164" fontId="27" fillId="9" borderId="36" xfId="1" applyFont="1" applyFill="1" applyBorder="1" applyAlignment="1" applyProtection="1">
      <alignment horizontal="left" vertical="center" wrapText="1"/>
      <protection locked="0"/>
    </xf>
    <xf numFmtId="0" fontId="27" fillId="9" borderId="35" xfId="0" applyFont="1" applyFill="1" applyBorder="1" applyAlignment="1" applyProtection="1">
      <alignment horizontal="left"/>
      <protection locked="0"/>
    </xf>
    <xf numFmtId="0" fontId="27" fillId="9" borderId="36" xfId="0" applyFont="1" applyFill="1" applyBorder="1" applyAlignment="1" applyProtection="1">
      <alignment horizontal="left"/>
      <protection locked="0"/>
    </xf>
    <xf numFmtId="10" fontId="24" fillId="0" borderId="32" xfId="2" applyNumberFormat="1" applyFont="1" applyBorder="1" applyAlignment="1" applyProtection="1">
      <alignment horizontal="right"/>
    </xf>
    <xf numFmtId="10" fontId="24" fillId="0" borderId="34" xfId="2" applyNumberFormat="1" applyFont="1" applyBorder="1" applyAlignment="1" applyProtection="1">
      <alignment horizontal="right"/>
    </xf>
    <xf numFmtId="165" fontId="26" fillId="9" borderId="35" xfId="1" applyNumberFormat="1" applyFont="1" applyFill="1" applyBorder="1" applyAlignment="1" applyProtection="1">
      <alignment horizontal="center"/>
      <protection locked="0"/>
    </xf>
    <xf numFmtId="165" fontId="26" fillId="9" borderId="36" xfId="1" applyNumberFormat="1" applyFont="1" applyFill="1" applyBorder="1" applyAlignment="1" applyProtection="1">
      <alignment horizontal="center"/>
      <protection locked="0"/>
    </xf>
    <xf numFmtId="165" fontId="26" fillId="9" borderId="35" xfId="1" applyNumberFormat="1" applyFont="1" applyFill="1" applyBorder="1" applyAlignment="1" applyProtection="1">
      <alignment horizontal="right"/>
      <protection locked="0"/>
    </xf>
    <xf numFmtId="165" fontId="26" fillId="9" borderId="36" xfId="1" applyNumberFormat="1" applyFont="1" applyFill="1" applyBorder="1" applyAlignment="1" applyProtection="1">
      <alignment horizontal="right"/>
      <protection locked="0"/>
    </xf>
    <xf numFmtId="164" fontId="27" fillId="9" borderId="35" xfId="1" applyFont="1" applyFill="1" applyBorder="1" applyAlignment="1" applyProtection="1">
      <alignment horizontal="right"/>
      <protection locked="0"/>
    </xf>
    <xf numFmtId="164" fontId="27" fillId="9" borderId="36" xfId="1" applyFont="1" applyFill="1" applyBorder="1" applyAlignment="1" applyProtection="1">
      <alignment horizontal="right"/>
      <protection locked="0"/>
    </xf>
    <xf numFmtId="164" fontId="27" fillId="9" borderId="35" xfId="1" applyFont="1" applyFill="1" applyBorder="1" applyAlignment="1" applyProtection="1">
      <alignment horizontal="center"/>
      <protection locked="0"/>
    </xf>
    <xf numFmtId="164" fontId="27" fillId="9" borderId="36" xfId="1" applyFont="1" applyFill="1" applyBorder="1" applyAlignment="1" applyProtection="1">
      <alignment horizontal="center"/>
      <protection locked="0"/>
    </xf>
    <xf numFmtId="10" fontId="26" fillId="9" borderId="35" xfId="2" applyNumberFormat="1" applyFont="1" applyFill="1" applyBorder="1" applyAlignment="1" applyProtection="1">
      <alignment horizontal="right"/>
      <protection locked="0"/>
    </xf>
    <xf numFmtId="10" fontId="26" fillId="9" borderId="36" xfId="2" applyNumberFormat="1" applyFont="1" applyFill="1" applyBorder="1" applyAlignment="1" applyProtection="1">
      <alignment horizontal="right"/>
      <protection locked="0"/>
    </xf>
    <xf numFmtId="0" fontId="30" fillId="7" borderId="0" xfId="0" applyFont="1" applyFill="1" applyBorder="1" applyAlignment="1" applyProtection="1">
      <alignment horizontal="left" vertical="top" wrapText="1"/>
      <protection hidden="1"/>
    </xf>
    <xf numFmtId="0" fontId="30" fillId="7" borderId="7" xfId="0" applyFont="1" applyFill="1" applyBorder="1" applyAlignment="1" applyProtection="1">
      <alignment horizontal="left" wrapText="1"/>
      <protection locked="0"/>
    </xf>
    <xf numFmtId="0" fontId="30" fillId="7" borderId="0" xfId="0" applyFont="1" applyFill="1" applyBorder="1" applyAlignment="1" applyProtection="1">
      <alignment horizontal="left" wrapText="1"/>
      <protection locked="0"/>
    </xf>
    <xf numFmtId="0" fontId="30" fillId="7" borderId="27" xfId="0" applyFont="1" applyFill="1" applyBorder="1" applyAlignment="1" applyProtection="1">
      <alignment horizontal="left" wrapText="1"/>
      <protection locked="0"/>
    </xf>
    <xf numFmtId="10" fontId="24" fillId="0" borderId="32" xfId="2" applyNumberFormat="1" applyFont="1" applyBorder="1" applyAlignment="1" applyProtection="1">
      <alignment horizontal="right"/>
      <protection hidden="1"/>
    </xf>
    <xf numFmtId="10" fontId="24" fillId="0" borderId="34" xfId="2" applyNumberFormat="1" applyFont="1" applyBorder="1" applyAlignment="1" applyProtection="1">
      <alignment horizontal="right"/>
      <protection hidden="1"/>
    </xf>
    <xf numFmtId="0" fontId="27" fillId="9" borderId="47" xfId="0" applyFont="1" applyFill="1" applyBorder="1" applyAlignment="1" applyProtection="1">
      <alignment horizontal="center"/>
      <protection locked="0"/>
    </xf>
    <xf numFmtId="165" fontId="24" fillId="0" borderId="32" xfId="1" applyNumberFormat="1" applyFont="1" applyBorder="1" applyAlignment="1" applyProtection="1">
      <alignment horizontal="right"/>
      <protection hidden="1"/>
    </xf>
    <xf numFmtId="165" fontId="24" fillId="0" borderId="34" xfId="1" applyNumberFormat="1" applyFont="1" applyBorder="1" applyAlignment="1" applyProtection="1">
      <alignment horizontal="right"/>
      <protection hidden="1"/>
    </xf>
    <xf numFmtId="0" fontId="27" fillId="9" borderId="35" xfId="0" applyFont="1" applyFill="1" applyBorder="1" applyAlignment="1" applyProtection="1">
      <alignment horizontal="center"/>
      <protection locked="0"/>
    </xf>
    <xf numFmtId="0" fontId="27" fillId="9" borderId="36" xfId="0" applyFont="1" applyFill="1" applyBorder="1" applyAlignment="1" applyProtection="1">
      <alignment horizontal="center"/>
      <protection locked="0"/>
    </xf>
    <xf numFmtId="164" fontId="24" fillId="0" borderId="32" xfId="1" applyFont="1" applyBorder="1" applyAlignment="1" applyProtection="1">
      <alignment horizontal="right"/>
      <protection hidden="1"/>
    </xf>
    <xf numFmtId="164" fontId="24" fillId="0" borderId="34" xfId="1" applyFont="1" applyBorder="1" applyAlignment="1" applyProtection="1">
      <alignment horizontal="right"/>
      <protection hidden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6"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76200</xdr:rowOff>
    </xdr:from>
    <xdr:to>
      <xdr:col>2</xdr:col>
      <xdr:colOff>1200151</xdr:colOff>
      <xdr:row>4</xdr:row>
      <xdr:rowOff>152401</xdr:rowOff>
    </xdr:to>
    <xdr:pic>
      <xdr:nvPicPr>
        <xdr:cNvPr id="2" name="Рисунок 1" descr="X:\[=Ak Bars Bank=]\Новый Брендбук\Бланки\preview\Бланки - лого 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76225"/>
          <a:ext cx="1381126" cy="10001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1</xdr:row>
      <xdr:rowOff>47625</xdr:rowOff>
    </xdr:from>
    <xdr:to>
      <xdr:col>2</xdr:col>
      <xdr:colOff>733425</xdr:colOff>
      <xdr:row>3</xdr:row>
      <xdr:rowOff>333375</xdr:rowOff>
    </xdr:to>
    <xdr:pic>
      <xdr:nvPicPr>
        <xdr:cNvPr id="2" name="Рисунок 1" descr="X:\[=Ak Bars Bank=]\Новый Брендбук\Бланки\preview\Бланки - лого 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4" y="247650"/>
          <a:ext cx="952501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85724</xdr:rowOff>
    </xdr:from>
    <xdr:to>
      <xdr:col>2</xdr:col>
      <xdr:colOff>581025</xdr:colOff>
      <xdr:row>4</xdr:row>
      <xdr:rowOff>104775</xdr:rowOff>
    </xdr:to>
    <xdr:pic>
      <xdr:nvPicPr>
        <xdr:cNvPr id="2" name="Рисунок 1" descr="X:\[=Ak Bars Bank=]\Новый Брендбук\Бланки\preview\Бланки - лого 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285749"/>
          <a:ext cx="1123951" cy="819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5"/>
  <sheetViews>
    <sheetView zoomScale="80" zoomScaleNormal="80" workbookViewId="0">
      <pane ySplit="6" topLeftCell="A7" activePane="bottomLeft" state="frozen"/>
      <selection pane="bottomLeft" activeCell="D25" sqref="D25"/>
    </sheetView>
  </sheetViews>
  <sheetFormatPr defaultRowHeight="15" x14ac:dyDescent="0.25"/>
  <cols>
    <col min="1" max="1" width="9.28515625" style="18" customWidth="1"/>
    <col min="2" max="2" width="16.7109375" style="18" customWidth="1"/>
    <col min="3" max="3" width="15.85546875" style="18" bestFit="1" customWidth="1"/>
    <col min="5" max="5" width="10.42578125" customWidth="1"/>
    <col min="7" max="7" width="9.28515625" style="18" customWidth="1"/>
    <col min="8" max="8" width="16.7109375" style="18" customWidth="1"/>
    <col min="9" max="9" width="20" customWidth="1"/>
    <col min="12" max="12" width="17.7109375" customWidth="1"/>
    <col min="13" max="13" width="22" customWidth="1"/>
    <col min="14" max="14" width="16.85546875" customWidth="1"/>
    <col min="18" max="18" width="15.7109375" customWidth="1"/>
    <col min="19" max="19" width="16.140625" customWidth="1"/>
    <col min="23" max="23" width="17" customWidth="1"/>
  </cols>
  <sheetData>
    <row r="1" spans="1:34" s="39" customFormat="1" ht="18.75" x14ac:dyDescent="0.3">
      <c r="A1" s="37" t="s">
        <v>12</v>
      </c>
      <c r="B1" s="38"/>
      <c r="C1" s="262"/>
      <c r="G1" s="39" t="s">
        <v>37</v>
      </c>
      <c r="J1" s="37"/>
      <c r="L1" s="39" t="s">
        <v>39</v>
      </c>
      <c r="Q1" s="37" t="s">
        <v>38</v>
      </c>
      <c r="R1" s="40"/>
      <c r="S1" s="40"/>
      <c r="V1" s="39" t="s">
        <v>40</v>
      </c>
      <c r="Y1" s="38"/>
      <c r="Z1" s="40"/>
      <c r="AA1" s="38"/>
      <c r="AH1" s="37"/>
    </row>
    <row r="2" spans="1:34" ht="15.75" thickBot="1" x14ac:dyDescent="0.3">
      <c r="A2" s="1"/>
      <c r="B2"/>
      <c r="C2"/>
      <c r="G2" s="1"/>
      <c r="H2"/>
      <c r="L2" s="1"/>
      <c r="N2" s="2"/>
      <c r="Q2" s="1"/>
      <c r="S2" s="2"/>
      <c r="V2" s="1"/>
      <c r="W2" s="3"/>
      <c r="X2" s="3"/>
    </row>
    <row r="3" spans="1:34" ht="14.45" customHeight="1" x14ac:dyDescent="0.25">
      <c r="A3" s="282" t="s">
        <v>0</v>
      </c>
      <c r="B3" s="284" t="s">
        <v>1</v>
      </c>
      <c r="C3" s="282" t="s">
        <v>145</v>
      </c>
      <c r="G3" s="287" t="s">
        <v>0</v>
      </c>
      <c r="H3" s="289" t="s">
        <v>1</v>
      </c>
      <c r="I3" s="276" t="s">
        <v>146</v>
      </c>
      <c r="J3" s="277"/>
      <c r="L3" s="292" t="s">
        <v>0</v>
      </c>
      <c r="M3" s="294" t="s">
        <v>1</v>
      </c>
      <c r="N3" s="294" t="s">
        <v>147</v>
      </c>
      <c r="O3" s="296"/>
      <c r="Q3" s="298" t="s">
        <v>0</v>
      </c>
      <c r="R3" s="302" t="s">
        <v>1</v>
      </c>
      <c r="S3" s="302" t="s">
        <v>148</v>
      </c>
      <c r="T3" s="304"/>
      <c r="V3" s="306" t="s">
        <v>0</v>
      </c>
      <c r="W3" s="309" t="s">
        <v>79</v>
      </c>
      <c r="X3" s="310"/>
    </row>
    <row r="4" spans="1:34" ht="15.75" thickBot="1" x14ac:dyDescent="0.3">
      <c r="A4" s="283"/>
      <c r="B4" s="285"/>
      <c r="C4" s="286"/>
      <c r="G4" s="288"/>
      <c r="H4" s="290"/>
      <c r="I4" s="278"/>
      <c r="J4" s="279"/>
      <c r="L4" s="293"/>
      <c r="M4" s="295"/>
      <c r="N4" s="295"/>
      <c r="O4" s="297"/>
      <c r="Q4" s="299"/>
      <c r="R4" s="303"/>
      <c r="S4" s="303"/>
      <c r="T4" s="305"/>
      <c r="V4" s="307"/>
      <c r="W4" s="311"/>
      <c r="X4" s="312"/>
    </row>
    <row r="5" spans="1:34" ht="15.75" thickBot="1" x14ac:dyDescent="0.3">
      <c r="A5" s="283"/>
      <c r="B5" s="285"/>
      <c r="C5" s="4">
        <v>0.08</v>
      </c>
      <c r="D5" s="5"/>
      <c r="E5" s="5"/>
      <c r="G5" s="288"/>
      <c r="H5" s="291"/>
      <c r="I5" s="280">
        <v>0.06</v>
      </c>
      <c r="J5" s="281"/>
      <c r="L5" s="293"/>
      <c r="M5" s="295"/>
      <c r="N5" s="300">
        <v>0.16800000000000001</v>
      </c>
      <c r="O5" s="301"/>
      <c r="Q5" s="299"/>
      <c r="R5" s="303"/>
      <c r="S5" s="313">
        <v>0.16800000000000001</v>
      </c>
      <c r="T5" s="314"/>
      <c r="V5" s="307"/>
      <c r="W5" s="315">
        <v>0.17199999999999999</v>
      </c>
      <c r="X5" s="316"/>
    </row>
    <row r="6" spans="1:34" ht="39" thickBot="1" x14ac:dyDescent="0.3">
      <c r="A6" s="283"/>
      <c r="B6" s="285"/>
      <c r="C6" s="106" t="s">
        <v>2</v>
      </c>
      <c r="D6" s="107" t="s">
        <v>3</v>
      </c>
      <c r="E6" s="5"/>
      <c r="G6" s="288"/>
      <c r="H6" s="291"/>
      <c r="I6" s="77" t="s">
        <v>2</v>
      </c>
      <c r="J6" s="108" t="s">
        <v>3</v>
      </c>
      <c r="L6" s="293"/>
      <c r="M6" s="295"/>
      <c r="N6" s="137" t="s">
        <v>2</v>
      </c>
      <c r="O6" s="82" t="s">
        <v>3</v>
      </c>
      <c r="Q6" s="299"/>
      <c r="R6" s="303"/>
      <c r="S6" s="98" t="s">
        <v>2</v>
      </c>
      <c r="T6" s="86" t="s">
        <v>3</v>
      </c>
      <c r="V6" s="308"/>
      <c r="W6" s="6" t="s">
        <v>2</v>
      </c>
      <c r="X6" s="151" t="s">
        <v>3</v>
      </c>
    </row>
    <row r="7" spans="1:34" x14ac:dyDescent="0.25">
      <c r="A7" s="8">
        <v>1E-4</v>
      </c>
      <c r="B7" s="7" t="s">
        <v>4</v>
      </c>
      <c r="C7" s="7">
        <f>$C$5-A7</f>
        <v>7.9899999999999999E-2</v>
      </c>
      <c r="D7" s="261">
        <v>3.9E-2</v>
      </c>
      <c r="E7" s="79"/>
      <c r="G7" s="8">
        <v>1E-4</v>
      </c>
      <c r="H7" s="7" t="s">
        <v>4</v>
      </c>
      <c r="I7" s="7">
        <f>$I$5-G7</f>
        <v>5.9899999999999995E-2</v>
      </c>
      <c r="J7" s="259">
        <v>3.9E-2</v>
      </c>
      <c r="K7" s="79"/>
      <c r="L7" s="99">
        <v>1E-3</v>
      </c>
      <c r="M7" s="145" t="s">
        <v>4</v>
      </c>
      <c r="N7" s="7">
        <v>0.16700000000000001</v>
      </c>
      <c r="O7" s="7">
        <v>1.9E-3</v>
      </c>
      <c r="P7" s="79"/>
      <c r="Q7" s="8">
        <v>1E-3</v>
      </c>
      <c r="R7" s="146" t="s">
        <v>4</v>
      </c>
      <c r="S7" s="7">
        <v>0.16700000000000001</v>
      </c>
      <c r="T7" s="7">
        <v>3.5499999999999997E-2</v>
      </c>
      <c r="U7" s="79"/>
      <c r="V7" s="99">
        <v>1E-3</v>
      </c>
      <c r="W7" s="7">
        <v>0.17099999999999999</v>
      </c>
      <c r="X7" s="103">
        <v>1.9E-3</v>
      </c>
      <c r="Y7" s="79"/>
    </row>
    <row r="8" spans="1:34" x14ac:dyDescent="0.25">
      <c r="A8" s="8">
        <f>A7+0.1%</f>
        <v>1.1000000000000001E-3</v>
      </c>
      <c r="B8" s="7" t="s">
        <v>4</v>
      </c>
      <c r="C8" s="7">
        <f t="shared" ref="C8:C17" si="0">$C$5-A8</f>
        <v>7.8899999999999998E-2</v>
      </c>
      <c r="D8" s="261">
        <v>4.53E-2</v>
      </c>
      <c r="E8" s="79"/>
      <c r="G8" s="8">
        <f>G7+0.1%</f>
        <v>1.1000000000000001E-3</v>
      </c>
      <c r="H8" s="7" t="s">
        <v>4</v>
      </c>
      <c r="I8" s="7">
        <f t="shared" ref="I8:I17" si="1">$I$5-G8</f>
        <v>5.8900000000000001E-2</v>
      </c>
      <c r="J8" s="259">
        <v>4.5100000000000001E-2</v>
      </c>
      <c r="K8" s="79"/>
      <c r="L8" s="100">
        <f>L7+0.1%</f>
        <v>2E-3</v>
      </c>
      <c r="M8" s="146" t="s">
        <v>4</v>
      </c>
      <c r="N8" s="7">
        <v>0.16600000000000001</v>
      </c>
      <c r="O8" s="7">
        <v>3.3999999999999998E-3</v>
      </c>
      <c r="P8" s="79"/>
      <c r="Q8" s="8">
        <f>Q7+0.1%</f>
        <v>2E-3</v>
      </c>
      <c r="R8" s="146" t="s">
        <v>4</v>
      </c>
      <c r="S8" s="7">
        <v>0.16600000000000001</v>
      </c>
      <c r="T8" s="7">
        <v>3.9800000000000002E-2</v>
      </c>
      <c r="U8" s="79"/>
      <c r="V8" s="100">
        <f>V7+0.1%</f>
        <v>2E-3</v>
      </c>
      <c r="W8" s="7">
        <v>0.16999999999999998</v>
      </c>
      <c r="X8" s="103">
        <v>2.3999999999999998E-3</v>
      </c>
      <c r="Y8" s="79"/>
    </row>
    <row r="9" spans="1:34" x14ac:dyDescent="0.25">
      <c r="A9" s="8">
        <f t="shared" ref="A9:A43" si="2">A8+0.1%</f>
        <v>2.1000000000000003E-3</v>
      </c>
      <c r="B9" s="7" t="s">
        <v>4</v>
      </c>
      <c r="C9" s="7">
        <f t="shared" si="0"/>
        <v>7.7899999999999997E-2</v>
      </c>
      <c r="D9" s="261">
        <v>5.1499999999999997E-2</v>
      </c>
      <c r="E9" s="79"/>
      <c r="G9" s="8">
        <f t="shared" ref="G9:G46" si="3">G8+0.1%</f>
        <v>2.1000000000000003E-3</v>
      </c>
      <c r="H9" s="7" t="s">
        <v>4</v>
      </c>
      <c r="I9" s="7">
        <f t="shared" si="1"/>
        <v>5.79E-2</v>
      </c>
      <c r="J9" s="259">
        <v>5.11E-2</v>
      </c>
      <c r="K9" s="79"/>
      <c r="L9" s="100">
        <f t="shared" ref="L9:L72" si="4">L8+0.1%</f>
        <v>3.0000000000000001E-3</v>
      </c>
      <c r="M9" s="146" t="s">
        <v>4</v>
      </c>
      <c r="N9" s="7">
        <v>0.16500000000000001</v>
      </c>
      <c r="O9" s="102">
        <v>5.1000000000000004E-3</v>
      </c>
      <c r="P9" s="79"/>
      <c r="Q9" s="8">
        <f t="shared" ref="Q9:Q72" si="5">Q8+0.1%</f>
        <v>3.0000000000000001E-3</v>
      </c>
      <c r="R9" s="146" t="s">
        <v>4</v>
      </c>
      <c r="S9" s="7">
        <v>0.16500000000000001</v>
      </c>
      <c r="T9" s="102">
        <v>4.41E-2</v>
      </c>
      <c r="U9" s="79"/>
      <c r="V9" s="100">
        <f t="shared" ref="V9:V72" si="6">V8+0.1%</f>
        <v>3.0000000000000001E-3</v>
      </c>
      <c r="W9" s="7">
        <v>0.16899999999999998</v>
      </c>
      <c r="X9" s="104">
        <v>6.6E-3</v>
      </c>
      <c r="Y9" s="79"/>
    </row>
    <row r="10" spans="1:34" x14ac:dyDescent="0.25">
      <c r="A10" s="8">
        <f t="shared" si="2"/>
        <v>3.1000000000000003E-3</v>
      </c>
      <c r="B10" s="7" t="s">
        <v>4</v>
      </c>
      <c r="C10" s="7">
        <f t="shared" si="0"/>
        <v>7.6899999999999996E-2</v>
      </c>
      <c r="D10" s="261">
        <v>5.7799999999999997E-2</v>
      </c>
      <c r="E10" s="79"/>
      <c r="G10" s="8">
        <f t="shared" si="3"/>
        <v>3.1000000000000003E-3</v>
      </c>
      <c r="H10" s="7" t="s">
        <v>4</v>
      </c>
      <c r="I10" s="7">
        <f t="shared" si="1"/>
        <v>5.6899999999999999E-2</v>
      </c>
      <c r="J10" s="259">
        <v>5.7200000000000001E-2</v>
      </c>
      <c r="K10" s="79"/>
      <c r="L10" s="100">
        <f t="shared" si="4"/>
        <v>4.0000000000000001E-3</v>
      </c>
      <c r="M10" s="146" t="s">
        <v>4</v>
      </c>
      <c r="N10" s="7">
        <v>0.16400000000000001</v>
      </c>
      <c r="O10" s="102">
        <v>9.2999999999999992E-3</v>
      </c>
      <c r="P10" s="79"/>
      <c r="Q10" s="8">
        <f t="shared" si="5"/>
        <v>4.0000000000000001E-3</v>
      </c>
      <c r="R10" s="146" t="s">
        <v>4</v>
      </c>
      <c r="S10" s="7">
        <v>0.16400000000000001</v>
      </c>
      <c r="T10" s="102">
        <v>4.8300000000000003E-2</v>
      </c>
      <c r="U10" s="79"/>
      <c r="V10" s="100">
        <f t="shared" si="6"/>
        <v>4.0000000000000001E-3</v>
      </c>
      <c r="W10" s="7">
        <v>0.16799999999999998</v>
      </c>
      <c r="X10" s="104">
        <v>1.09E-2</v>
      </c>
      <c r="Y10" s="79"/>
    </row>
    <row r="11" spans="1:34" x14ac:dyDescent="0.25">
      <c r="A11" s="8">
        <f t="shared" si="2"/>
        <v>4.1000000000000003E-3</v>
      </c>
      <c r="B11" s="7" t="s">
        <v>4</v>
      </c>
      <c r="C11" s="7">
        <f t="shared" si="0"/>
        <v>7.5899999999999995E-2</v>
      </c>
      <c r="D11" s="261">
        <v>6.4000000000000001E-2</v>
      </c>
      <c r="E11" s="79"/>
      <c r="G11" s="8">
        <f t="shared" si="3"/>
        <v>4.1000000000000003E-3</v>
      </c>
      <c r="H11" s="7" t="s">
        <v>4</v>
      </c>
      <c r="I11" s="7">
        <f t="shared" si="1"/>
        <v>5.5899999999999998E-2</v>
      </c>
      <c r="J11" s="259">
        <v>6.3200000000000006E-2</v>
      </c>
      <c r="K11" s="79"/>
      <c r="L11" s="100">
        <f t="shared" si="4"/>
        <v>5.0000000000000001E-3</v>
      </c>
      <c r="M11" s="146" t="s">
        <v>4</v>
      </c>
      <c r="N11" s="7">
        <v>0.16300000000000001</v>
      </c>
      <c r="O11" s="102">
        <v>1.3599999999999999E-2</v>
      </c>
      <c r="P11" s="79"/>
      <c r="Q11" s="8">
        <f t="shared" si="5"/>
        <v>5.0000000000000001E-3</v>
      </c>
      <c r="R11" s="146" t="s">
        <v>4</v>
      </c>
      <c r="S11" s="7">
        <v>0.16300000000000001</v>
      </c>
      <c r="T11" s="102">
        <v>5.2600000000000001E-2</v>
      </c>
      <c r="U11" s="79"/>
      <c r="V11" s="100">
        <f t="shared" si="6"/>
        <v>5.0000000000000001E-3</v>
      </c>
      <c r="W11" s="7">
        <v>0.16699999999999998</v>
      </c>
      <c r="X11" s="104">
        <v>1.52E-2</v>
      </c>
      <c r="Y11" s="79"/>
    </row>
    <row r="12" spans="1:34" x14ac:dyDescent="0.25">
      <c r="A12" s="8">
        <f t="shared" si="2"/>
        <v>5.1000000000000004E-3</v>
      </c>
      <c r="B12" s="7" t="s">
        <v>4</v>
      </c>
      <c r="C12" s="7">
        <f t="shared" si="0"/>
        <v>7.4899999999999994E-2</v>
      </c>
      <c r="D12" s="261">
        <v>7.0199999999999999E-2</v>
      </c>
      <c r="E12" s="79"/>
      <c r="G12" s="8">
        <f t="shared" si="3"/>
        <v>5.1000000000000004E-3</v>
      </c>
      <c r="H12" s="7" t="s">
        <v>4</v>
      </c>
      <c r="I12" s="7">
        <f t="shared" si="1"/>
        <v>5.4899999999999997E-2</v>
      </c>
      <c r="J12" s="259">
        <v>6.9199999999999998E-2</v>
      </c>
      <c r="K12" s="79"/>
      <c r="L12" s="100">
        <f t="shared" si="4"/>
        <v>6.0000000000000001E-3</v>
      </c>
      <c r="M12" s="146" t="s">
        <v>4</v>
      </c>
      <c r="N12" s="7">
        <v>0.16200000000000001</v>
      </c>
      <c r="O12" s="19">
        <v>1.78E-2</v>
      </c>
      <c r="P12" s="79"/>
      <c r="Q12" s="8">
        <f t="shared" si="5"/>
        <v>6.0000000000000001E-3</v>
      </c>
      <c r="R12" s="146" t="s">
        <v>4</v>
      </c>
      <c r="S12" s="7">
        <v>0.16200000000000001</v>
      </c>
      <c r="T12" s="19">
        <v>5.6800000000000003E-2</v>
      </c>
      <c r="U12" s="79"/>
      <c r="V12" s="100">
        <f t="shared" si="6"/>
        <v>6.0000000000000001E-3</v>
      </c>
      <c r="W12" s="7">
        <v>0.16599999999999998</v>
      </c>
      <c r="X12" s="105">
        <v>1.95E-2</v>
      </c>
      <c r="Y12" s="79"/>
    </row>
    <row r="13" spans="1:34" x14ac:dyDescent="0.25">
      <c r="A13" s="8">
        <f t="shared" si="2"/>
        <v>6.1000000000000004E-3</v>
      </c>
      <c r="B13" s="7" t="s">
        <v>4</v>
      </c>
      <c r="C13" s="7">
        <f t="shared" si="0"/>
        <v>7.3900000000000007E-2</v>
      </c>
      <c r="D13" s="261">
        <v>7.6399999999999996E-2</v>
      </c>
      <c r="E13" s="79"/>
      <c r="G13" s="8">
        <f t="shared" si="3"/>
        <v>6.1000000000000004E-3</v>
      </c>
      <c r="H13" s="7" t="s">
        <v>4</v>
      </c>
      <c r="I13" s="7">
        <f t="shared" si="1"/>
        <v>5.3899999999999997E-2</v>
      </c>
      <c r="J13" s="259">
        <v>7.5200000000000003E-2</v>
      </c>
      <c r="K13" s="79"/>
      <c r="L13" s="100">
        <f t="shared" si="4"/>
        <v>7.0000000000000001E-3</v>
      </c>
      <c r="M13" s="146" t="s">
        <v>4</v>
      </c>
      <c r="N13" s="7">
        <v>0.161</v>
      </c>
      <c r="O13" s="19">
        <v>2.1999999999999999E-2</v>
      </c>
      <c r="P13" s="79"/>
      <c r="Q13" s="8">
        <f t="shared" si="5"/>
        <v>7.0000000000000001E-3</v>
      </c>
      <c r="R13" s="146" t="s">
        <v>4</v>
      </c>
      <c r="S13" s="7">
        <v>0.161</v>
      </c>
      <c r="T13" s="19">
        <v>6.0999999999999999E-2</v>
      </c>
      <c r="U13" s="79"/>
      <c r="V13" s="100">
        <f t="shared" si="6"/>
        <v>7.0000000000000001E-3</v>
      </c>
      <c r="W13" s="7">
        <v>0.16499999999999998</v>
      </c>
      <c r="X13" s="105">
        <v>2.3699999999999999E-2</v>
      </c>
      <c r="Y13" s="79"/>
    </row>
    <row r="14" spans="1:34" x14ac:dyDescent="0.25">
      <c r="A14" s="8">
        <f t="shared" si="2"/>
        <v>7.1000000000000004E-3</v>
      </c>
      <c r="B14" s="7" t="s">
        <v>4</v>
      </c>
      <c r="C14" s="7">
        <f t="shared" si="0"/>
        <v>7.2900000000000006E-2</v>
      </c>
      <c r="D14" s="261">
        <v>8.2600000000000007E-2</v>
      </c>
      <c r="E14" s="79"/>
      <c r="G14" s="8">
        <f t="shared" si="3"/>
        <v>7.1000000000000004E-3</v>
      </c>
      <c r="H14" s="7" t="s">
        <v>4</v>
      </c>
      <c r="I14" s="7">
        <f t="shared" si="1"/>
        <v>5.2899999999999996E-2</v>
      </c>
      <c r="J14" s="259">
        <v>8.1199999999999994E-2</v>
      </c>
      <c r="K14" s="79"/>
      <c r="L14" s="100">
        <f t="shared" si="4"/>
        <v>8.0000000000000002E-3</v>
      </c>
      <c r="M14" s="146" t="s">
        <v>4</v>
      </c>
      <c r="N14" s="7">
        <v>0.16</v>
      </c>
      <c r="O14" s="19">
        <v>2.63E-2</v>
      </c>
      <c r="P14" s="79"/>
      <c r="Q14" s="8">
        <f t="shared" si="5"/>
        <v>8.0000000000000002E-3</v>
      </c>
      <c r="R14" s="146" t="s">
        <v>4</v>
      </c>
      <c r="S14" s="7">
        <v>0.16</v>
      </c>
      <c r="T14" s="19">
        <v>6.5299999999999997E-2</v>
      </c>
      <c r="U14" s="79"/>
      <c r="V14" s="100">
        <f t="shared" si="6"/>
        <v>8.0000000000000002E-3</v>
      </c>
      <c r="W14" s="7">
        <v>0.16399999999999998</v>
      </c>
      <c r="X14" s="105">
        <v>2.8000000000000001E-2</v>
      </c>
      <c r="Y14" s="79"/>
    </row>
    <row r="15" spans="1:34" x14ac:dyDescent="0.25">
      <c r="A15" s="8">
        <f t="shared" si="2"/>
        <v>8.0999999999999996E-3</v>
      </c>
      <c r="B15" s="7" t="s">
        <v>4</v>
      </c>
      <c r="C15" s="7">
        <f t="shared" si="0"/>
        <v>7.1900000000000006E-2</v>
      </c>
      <c r="D15" s="261">
        <v>8.8800000000000004E-2</v>
      </c>
      <c r="E15" s="79"/>
      <c r="G15" s="8">
        <f t="shared" si="3"/>
        <v>8.0999999999999996E-3</v>
      </c>
      <c r="H15" s="7" t="s">
        <v>4</v>
      </c>
      <c r="I15" s="7">
        <f t="shared" si="1"/>
        <v>5.1900000000000002E-2</v>
      </c>
      <c r="J15" s="259">
        <v>8.7099999999999997E-2</v>
      </c>
      <c r="K15" s="79"/>
      <c r="L15" s="100">
        <f t="shared" si="4"/>
        <v>9.0000000000000011E-3</v>
      </c>
      <c r="M15" s="146" t="s">
        <v>4</v>
      </c>
      <c r="N15" s="7">
        <v>0.159</v>
      </c>
      <c r="O15" s="19">
        <v>3.0499999999999999E-2</v>
      </c>
      <c r="P15" s="79"/>
      <c r="Q15" s="8">
        <f t="shared" si="5"/>
        <v>9.0000000000000011E-3</v>
      </c>
      <c r="R15" s="146" t="s">
        <v>4</v>
      </c>
      <c r="S15" s="7">
        <v>0.159</v>
      </c>
      <c r="T15" s="19">
        <v>6.9500000000000006E-2</v>
      </c>
      <c r="U15" s="79"/>
      <c r="V15" s="100">
        <f t="shared" si="6"/>
        <v>9.0000000000000011E-3</v>
      </c>
      <c r="W15" s="7">
        <v>0.16299999999999998</v>
      </c>
      <c r="X15" s="105">
        <v>3.2199999999999999E-2</v>
      </c>
      <c r="Y15" s="79"/>
    </row>
    <row r="16" spans="1:34" x14ac:dyDescent="0.25">
      <c r="A16" s="8">
        <f t="shared" si="2"/>
        <v>9.1000000000000004E-3</v>
      </c>
      <c r="B16" s="7" t="s">
        <v>4</v>
      </c>
      <c r="C16" s="7">
        <f t="shared" si="0"/>
        <v>7.0900000000000005E-2</v>
      </c>
      <c r="D16" s="261">
        <v>9.4899999999999998E-2</v>
      </c>
      <c r="E16" s="79"/>
      <c r="G16" s="8">
        <f t="shared" si="3"/>
        <v>9.1000000000000004E-3</v>
      </c>
      <c r="H16" s="7" t="s">
        <v>4</v>
      </c>
      <c r="I16" s="7">
        <f t="shared" si="1"/>
        <v>5.0900000000000001E-2</v>
      </c>
      <c r="J16" s="259">
        <v>9.3100000000000002E-2</v>
      </c>
      <c r="K16" s="79"/>
      <c r="L16" s="100">
        <f t="shared" si="4"/>
        <v>1.0000000000000002E-2</v>
      </c>
      <c r="M16" s="146" t="s">
        <v>4</v>
      </c>
      <c r="N16" s="7">
        <v>0.158</v>
      </c>
      <c r="O16" s="19">
        <v>3.4700000000000002E-2</v>
      </c>
      <c r="P16" s="79"/>
      <c r="Q16" s="8">
        <f t="shared" si="5"/>
        <v>1.0000000000000002E-2</v>
      </c>
      <c r="R16" s="146" t="s">
        <v>4</v>
      </c>
      <c r="S16" s="7">
        <v>0.158</v>
      </c>
      <c r="T16" s="19">
        <v>7.3700000000000002E-2</v>
      </c>
      <c r="U16" s="79"/>
      <c r="V16" s="100">
        <f t="shared" si="6"/>
        <v>1.0000000000000002E-2</v>
      </c>
      <c r="W16" s="7">
        <v>0.16199999999999998</v>
      </c>
      <c r="X16" s="105">
        <v>3.6499999999999998E-2</v>
      </c>
      <c r="Y16" s="79"/>
    </row>
    <row r="17" spans="1:25" x14ac:dyDescent="0.25">
      <c r="A17" s="8">
        <f t="shared" si="2"/>
        <v>1.0100000000000001E-2</v>
      </c>
      <c r="B17" s="7" t="s">
        <v>4</v>
      </c>
      <c r="C17" s="7">
        <f t="shared" si="0"/>
        <v>6.9900000000000004E-2</v>
      </c>
      <c r="D17" s="261">
        <v>0.10100000000000001</v>
      </c>
      <c r="E17" s="79"/>
      <c r="G17" s="8">
        <f t="shared" si="3"/>
        <v>1.0100000000000001E-2</v>
      </c>
      <c r="H17" s="7" t="s">
        <v>4</v>
      </c>
      <c r="I17" s="7">
        <f t="shared" si="1"/>
        <v>4.99E-2</v>
      </c>
      <c r="J17" s="259">
        <v>9.9000000000000005E-2</v>
      </c>
      <c r="K17" s="79"/>
      <c r="L17" s="100">
        <f t="shared" si="4"/>
        <v>1.1000000000000003E-2</v>
      </c>
      <c r="M17" s="146" t="s">
        <v>4</v>
      </c>
      <c r="N17" s="7">
        <v>0.157</v>
      </c>
      <c r="O17" s="19">
        <v>3.8899999999999997E-2</v>
      </c>
      <c r="P17" s="79"/>
      <c r="Q17" s="8">
        <f t="shared" si="5"/>
        <v>1.1000000000000003E-2</v>
      </c>
      <c r="R17" s="147" t="s">
        <v>4</v>
      </c>
      <c r="S17" s="7">
        <v>0.157</v>
      </c>
      <c r="T17" s="19">
        <v>7.7899999999999997E-2</v>
      </c>
      <c r="U17" s="79"/>
      <c r="V17" s="100">
        <f t="shared" si="6"/>
        <v>1.1000000000000003E-2</v>
      </c>
      <c r="W17" s="7">
        <v>0.16099999999999998</v>
      </c>
      <c r="X17" s="105">
        <v>4.07E-2</v>
      </c>
      <c r="Y17" s="79"/>
    </row>
    <row r="18" spans="1:25" x14ac:dyDescent="0.25">
      <c r="A18" s="8">
        <v>1.2000000000000004E-2</v>
      </c>
      <c r="B18" s="7" t="s">
        <v>4</v>
      </c>
      <c r="C18" s="7">
        <v>6.8000000000000005E-2</v>
      </c>
      <c r="D18" s="260">
        <v>0.1021</v>
      </c>
      <c r="E18" s="79"/>
      <c r="G18" s="8">
        <v>1.2000000000000004E-2</v>
      </c>
      <c r="H18" s="7" t="s">
        <v>4</v>
      </c>
      <c r="I18" s="8">
        <v>4.7999999999999994E-2</v>
      </c>
      <c r="J18" s="260">
        <v>0.1017</v>
      </c>
      <c r="K18" s="79"/>
      <c r="L18" s="100">
        <f t="shared" si="4"/>
        <v>1.2000000000000004E-2</v>
      </c>
      <c r="M18" s="146" t="s">
        <v>4</v>
      </c>
      <c r="N18" s="7">
        <v>0.156</v>
      </c>
      <c r="O18" s="19">
        <v>4.3099999999999999E-2</v>
      </c>
      <c r="P18" s="79"/>
      <c r="Q18" s="8">
        <f t="shared" si="5"/>
        <v>1.2000000000000004E-2</v>
      </c>
      <c r="R18" s="147" t="s">
        <v>4</v>
      </c>
      <c r="S18" s="7">
        <v>0.156</v>
      </c>
      <c r="T18" s="19">
        <v>8.2100000000000006E-2</v>
      </c>
      <c r="U18" s="79"/>
      <c r="V18" s="100">
        <f t="shared" si="6"/>
        <v>1.2000000000000004E-2</v>
      </c>
      <c r="W18" s="7">
        <v>0.15999999999999998</v>
      </c>
      <c r="X18" s="105">
        <v>4.4900000000000002E-2</v>
      </c>
      <c r="Y18" s="79"/>
    </row>
    <row r="19" spans="1:25" x14ac:dyDescent="0.25">
      <c r="A19" s="8">
        <f t="shared" si="2"/>
        <v>1.3000000000000005E-2</v>
      </c>
      <c r="B19" s="7" t="s">
        <v>4</v>
      </c>
      <c r="C19" s="7">
        <v>6.7000000000000004E-2</v>
      </c>
      <c r="D19" s="260">
        <v>0.1082</v>
      </c>
      <c r="E19" s="79"/>
      <c r="G19" s="8">
        <f t="shared" si="3"/>
        <v>1.3000000000000005E-2</v>
      </c>
      <c r="H19" s="7" t="s">
        <v>4</v>
      </c>
      <c r="I19" s="8">
        <v>4.6999999999999993E-2</v>
      </c>
      <c r="J19" s="260">
        <v>0.1076</v>
      </c>
      <c r="K19" s="79"/>
      <c r="L19" s="100">
        <f t="shared" si="4"/>
        <v>1.3000000000000005E-2</v>
      </c>
      <c r="M19" s="146" t="s">
        <v>4</v>
      </c>
      <c r="N19" s="7">
        <v>0.155</v>
      </c>
      <c r="O19" s="19">
        <v>4.7199999999999999E-2</v>
      </c>
      <c r="P19" s="79"/>
      <c r="Q19" s="8">
        <f t="shared" si="5"/>
        <v>1.3000000000000005E-2</v>
      </c>
      <c r="R19" s="147" t="s">
        <v>4</v>
      </c>
      <c r="S19" s="7">
        <v>0.155</v>
      </c>
      <c r="T19" s="19">
        <v>8.6300000000000002E-2</v>
      </c>
      <c r="U19" s="79"/>
      <c r="V19" s="100">
        <f t="shared" si="6"/>
        <v>1.3000000000000005E-2</v>
      </c>
      <c r="W19" s="7">
        <v>0.15899999999999997</v>
      </c>
      <c r="X19" s="105">
        <v>4.9099999999999998E-2</v>
      </c>
      <c r="Y19" s="79"/>
    </row>
    <row r="20" spans="1:25" x14ac:dyDescent="0.25">
      <c r="A20" s="8">
        <f t="shared" si="2"/>
        <v>1.4000000000000005E-2</v>
      </c>
      <c r="B20" s="7" t="s">
        <v>4</v>
      </c>
      <c r="C20" s="7">
        <v>6.6000000000000003E-2</v>
      </c>
      <c r="D20" s="260">
        <v>0.1143</v>
      </c>
      <c r="E20" s="79"/>
      <c r="G20" s="8">
        <f t="shared" si="3"/>
        <v>1.4000000000000005E-2</v>
      </c>
      <c r="H20" s="7" t="s">
        <v>4</v>
      </c>
      <c r="I20" s="8">
        <v>4.5999999999999992E-2</v>
      </c>
      <c r="J20" s="260">
        <v>0.1134</v>
      </c>
      <c r="K20" s="79"/>
      <c r="L20" s="100">
        <f t="shared" si="4"/>
        <v>1.4000000000000005E-2</v>
      </c>
      <c r="M20" s="147" t="s">
        <v>4</v>
      </c>
      <c r="N20" s="7">
        <v>0.154</v>
      </c>
      <c r="O20" s="19">
        <v>5.1400000000000001E-2</v>
      </c>
      <c r="P20" s="79"/>
      <c r="Q20" s="8">
        <f t="shared" si="5"/>
        <v>1.4000000000000005E-2</v>
      </c>
      <c r="R20" s="148" t="s">
        <v>4</v>
      </c>
      <c r="S20" s="7">
        <v>0.154</v>
      </c>
      <c r="T20" s="19">
        <v>9.0499999999999997E-2</v>
      </c>
      <c r="U20" s="79"/>
      <c r="V20" s="100">
        <f t="shared" si="6"/>
        <v>1.4000000000000005E-2</v>
      </c>
      <c r="W20" s="7">
        <v>0.15799999999999997</v>
      </c>
      <c r="X20" s="105">
        <v>5.3400000000000003E-2</v>
      </c>
      <c r="Y20" s="79"/>
    </row>
    <row r="21" spans="1:25" x14ac:dyDescent="0.25">
      <c r="A21" s="8">
        <f t="shared" si="2"/>
        <v>1.5000000000000006E-2</v>
      </c>
      <c r="B21" s="7" t="s">
        <v>4</v>
      </c>
      <c r="C21" s="7">
        <v>6.5000000000000002E-2</v>
      </c>
      <c r="D21" s="260">
        <v>0.1203</v>
      </c>
      <c r="E21" s="79"/>
      <c r="G21" s="8">
        <f t="shared" si="3"/>
        <v>1.5000000000000006E-2</v>
      </c>
      <c r="H21" s="7" t="s">
        <v>4</v>
      </c>
      <c r="I21" s="8">
        <v>4.4999999999999991E-2</v>
      </c>
      <c r="J21" s="260">
        <v>0.1192</v>
      </c>
      <c r="K21" s="79"/>
      <c r="L21" s="100">
        <f t="shared" si="4"/>
        <v>1.5000000000000006E-2</v>
      </c>
      <c r="M21" s="147" t="s">
        <v>4</v>
      </c>
      <c r="N21" s="7">
        <v>0.153</v>
      </c>
      <c r="O21" s="19">
        <v>5.5599999999999997E-2</v>
      </c>
      <c r="P21" s="79"/>
      <c r="Q21" s="8">
        <f t="shared" si="5"/>
        <v>1.5000000000000006E-2</v>
      </c>
      <c r="R21" s="148" t="s">
        <v>4</v>
      </c>
      <c r="S21" s="7">
        <v>0.153</v>
      </c>
      <c r="T21" s="19">
        <v>9.4600000000000004E-2</v>
      </c>
      <c r="U21" s="79"/>
      <c r="V21" s="100">
        <f t="shared" si="6"/>
        <v>1.5000000000000006E-2</v>
      </c>
      <c r="W21" s="7">
        <v>0.15699999999999997</v>
      </c>
      <c r="X21" s="105">
        <v>5.7599999999999998E-2</v>
      </c>
      <c r="Y21" s="79"/>
    </row>
    <row r="22" spans="1:25" x14ac:dyDescent="0.25">
      <c r="A22" s="8">
        <f t="shared" si="2"/>
        <v>1.6000000000000007E-2</v>
      </c>
      <c r="B22" s="7" t="s">
        <v>4</v>
      </c>
      <c r="C22" s="9">
        <v>6.4000000000000001E-2</v>
      </c>
      <c r="D22" s="260">
        <v>0.1263</v>
      </c>
      <c r="E22" s="79"/>
      <c r="G22" s="8">
        <f t="shared" si="3"/>
        <v>1.6000000000000007E-2</v>
      </c>
      <c r="H22" s="7" t="s">
        <v>4</v>
      </c>
      <c r="I22" s="8">
        <v>4.3999999999999991E-2</v>
      </c>
      <c r="J22" s="260">
        <v>0.125</v>
      </c>
      <c r="K22" s="79"/>
      <c r="L22" s="100">
        <f t="shared" si="4"/>
        <v>1.6000000000000007E-2</v>
      </c>
      <c r="M22" s="147" t="s">
        <v>4</v>
      </c>
      <c r="N22" s="7">
        <v>0.152</v>
      </c>
      <c r="O22" s="19">
        <v>5.9700000000000003E-2</v>
      </c>
      <c r="P22" s="79"/>
      <c r="Q22" s="8">
        <f t="shared" si="5"/>
        <v>1.6000000000000007E-2</v>
      </c>
      <c r="R22" s="148" t="s">
        <v>4</v>
      </c>
      <c r="S22" s="7">
        <v>0.152</v>
      </c>
      <c r="T22" s="19">
        <v>9.8799999999999999E-2</v>
      </c>
      <c r="U22" s="79"/>
      <c r="V22" s="100">
        <f t="shared" si="6"/>
        <v>1.6000000000000007E-2</v>
      </c>
      <c r="W22" s="7">
        <v>0.15599999999999997</v>
      </c>
      <c r="X22" s="105">
        <v>6.1800000000000001E-2</v>
      </c>
      <c r="Y22" s="79"/>
    </row>
    <row r="23" spans="1:25" x14ac:dyDescent="0.25">
      <c r="A23" s="8">
        <f t="shared" si="2"/>
        <v>1.7000000000000008E-2</v>
      </c>
      <c r="B23" s="7" t="s">
        <v>4</v>
      </c>
      <c r="C23" s="9">
        <v>6.3E-2</v>
      </c>
      <c r="D23" s="260">
        <v>0.1323</v>
      </c>
      <c r="E23" s="79"/>
      <c r="G23" s="8">
        <f t="shared" si="3"/>
        <v>1.7000000000000008E-2</v>
      </c>
      <c r="H23" s="7" t="s">
        <v>4</v>
      </c>
      <c r="I23" s="8">
        <v>4.299999999999999E-2</v>
      </c>
      <c r="J23" s="260">
        <v>0.1308</v>
      </c>
      <c r="K23" s="79"/>
      <c r="L23" s="100">
        <f t="shared" si="4"/>
        <v>1.7000000000000008E-2</v>
      </c>
      <c r="M23" s="148" t="s">
        <v>4</v>
      </c>
      <c r="N23" s="7">
        <v>0.151</v>
      </c>
      <c r="O23" s="19">
        <v>6.3899999999999998E-2</v>
      </c>
      <c r="P23" s="79"/>
      <c r="Q23" s="8">
        <f t="shared" si="5"/>
        <v>1.7000000000000008E-2</v>
      </c>
      <c r="R23" s="148" t="s">
        <v>4</v>
      </c>
      <c r="S23" s="7">
        <v>0.151</v>
      </c>
      <c r="T23" s="19">
        <v>0.10290000000000001</v>
      </c>
      <c r="U23" s="79"/>
      <c r="V23" s="100">
        <f t="shared" si="6"/>
        <v>1.7000000000000008E-2</v>
      </c>
      <c r="W23" s="7">
        <v>0.15499999999999997</v>
      </c>
      <c r="X23" s="105">
        <v>6.59E-2</v>
      </c>
      <c r="Y23" s="79"/>
    </row>
    <row r="24" spans="1:25" x14ac:dyDescent="0.25">
      <c r="A24" s="8">
        <f t="shared" si="2"/>
        <v>1.8000000000000009E-2</v>
      </c>
      <c r="B24" s="7" t="s">
        <v>4</v>
      </c>
      <c r="C24" s="9">
        <v>6.1999999999999993E-2</v>
      </c>
      <c r="D24" s="260">
        <v>0.13830000000000001</v>
      </c>
      <c r="E24" s="79"/>
      <c r="G24" s="8">
        <f t="shared" si="3"/>
        <v>1.8000000000000009E-2</v>
      </c>
      <c r="H24" s="7" t="s">
        <v>4</v>
      </c>
      <c r="I24" s="8">
        <v>4.1999999999999989E-2</v>
      </c>
      <c r="J24" s="260">
        <v>0.1366</v>
      </c>
      <c r="K24" s="79"/>
      <c r="L24" s="100">
        <f t="shared" si="4"/>
        <v>1.8000000000000009E-2</v>
      </c>
      <c r="M24" s="148" t="s">
        <v>4</v>
      </c>
      <c r="N24" s="7">
        <v>0.15</v>
      </c>
      <c r="O24" s="19">
        <v>6.8000000000000005E-2</v>
      </c>
      <c r="P24" s="79"/>
      <c r="Q24" s="8">
        <f t="shared" si="5"/>
        <v>1.8000000000000009E-2</v>
      </c>
      <c r="R24" s="148" t="s">
        <v>4</v>
      </c>
      <c r="S24" s="7">
        <v>0.15</v>
      </c>
      <c r="T24" s="19">
        <v>0.1071</v>
      </c>
      <c r="U24" s="79"/>
      <c r="V24" s="100">
        <f t="shared" si="6"/>
        <v>1.8000000000000009E-2</v>
      </c>
      <c r="W24" s="7">
        <v>0.15399999999999997</v>
      </c>
      <c r="X24" s="105">
        <v>7.0099999999999996E-2</v>
      </c>
      <c r="Y24" s="79"/>
    </row>
    <row r="25" spans="1:25" x14ac:dyDescent="0.25">
      <c r="A25" s="8">
        <f t="shared" si="2"/>
        <v>1.900000000000001E-2</v>
      </c>
      <c r="B25" s="7" t="s">
        <v>4</v>
      </c>
      <c r="C25" s="9">
        <v>6.0999999999999992E-2</v>
      </c>
      <c r="D25" s="260">
        <v>0.14430000000000001</v>
      </c>
      <c r="E25" s="79"/>
      <c r="G25" s="8">
        <f t="shared" si="3"/>
        <v>1.900000000000001E-2</v>
      </c>
      <c r="H25" s="7" t="s">
        <v>4</v>
      </c>
      <c r="I25" s="8">
        <v>4.0999999999999988E-2</v>
      </c>
      <c r="J25" s="260">
        <v>0.14230000000000001</v>
      </c>
      <c r="K25" s="79"/>
      <c r="L25" s="100">
        <f t="shared" si="4"/>
        <v>1.900000000000001E-2</v>
      </c>
      <c r="M25" s="148" t="s">
        <v>4</v>
      </c>
      <c r="N25" s="7">
        <v>0.14899999999999999</v>
      </c>
      <c r="O25" s="19">
        <v>7.22E-2</v>
      </c>
      <c r="P25" s="79"/>
      <c r="Q25" s="8">
        <f t="shared" si="5"/>
        <v>1.900000000000001E-2</v>
      </c>
      <c r="R25" s="148" t="s">
        <v>4</v>
      </c>
      <c r="S25" s="7">
        <v>0.14899999999999999</v>
      </c>
      <c r="T25" s="19">
        <v>0.11119999999999999</v>
      </c>
      <c r="U25" s="79"/>
      <c r="V25" s="100">
        <f t="shared" si="6"/>
        <v>1.900000000000001E-2</v>
      </c>
      <c r="W25" s="7">
        <v>0.15299999999999997</v>
      </c>
      <c r="X25" s="105">
        <v>7.4300000000000005E-2</v>
      </c>
      <c r="Y25" s="79"/>
    </row>
    <row r="26" spans="1:25" x14ac:dyDescent="0.25">
      <c r="A26" s="8">
        <f t="shared" si="2"/>
        <v>2.0000000000000011E-2</v>
      </c>
      <c r="B26" s="7" t="s">
        <v>4</v>
      </c>
      <c r="C26" s="9">
        <v>5.9999999999999991E-2</v>
      </c>
      <c r="D26" s="260">
        <v>0.1502</v>
      </c>
      <c r="E26" s="79"/>
      <c r="G26" s="8">
        <f t="shared" si="3"/>
        <v>2.0000000000000011E-2</v>
      </c>
      <c r="H26" s="7" t="s">
        <v>4</v>
      </c>
      <c r="I26" s="8">
        <v>3.9999999999999987E-2</v>
      </c>
      <c r="J26" s="260">
        <v>0.14810000000000001</v>
      </c>
      <c r="K26" s="79"/>
      <c r="L26" s="100">
        <f t="shared" si="4"/>
        <v>2.0000000000000011E-2</v>
      </c>
      <c r="M26" s="148" t="s">
        <v>4</v>
      </c>
      <c r="N26" s="7">
        <v>0.14799999999999999</v>
      </c>
      <c r="O26" s="19">
        <v>7.6300000000000007E-2</v>
      </c>
      <c r="P26" s="79"/>
      <c r="Q26" s="8">
        <f t="shared" si="5"/>
        <v>2.0000000000000011E-2</v>
      </c>
      <c r="R26" s="148" t="s">
        <v>4</v>
      </c>
      <c r="S26" s="7">
        <v>0.14799999999999999</v>
      </c>
      <c r="T26" s="19">
        <v>0.1154</v>
      </c>
      <c r="U26" s="79"/>
      <c r="V26" s="100">
        <f t="shared" si="6"/>
        <v>2.0000000000000011E-2</v>
      </c>
      <c r="W26" s="7">
        <v>0.15199999999999997</v>
      </c>
      <c r="X26" s="105">
        <v>7.85E-2</v>
      </c>
      <c r="Y26" s="79"/>
    </row>
    <row r="27" spans="1:25" x14ac:dyDescent="0.25">
      <c r="A27" s="8">
        <f t="shared" si="2"/>
        <v>2.1000000000000012E-2</v>
      </c>
      <c r="B27" s="7" t="s">
        <v>4</v>
      </c>
      <c r="C27" s="9">
        <v>5.899999999999999E-2</v>
      </c>
      <c r="D27" s="260">
        <v>0.15609999999999999</v>
      </c>
      <c r="E27" s="79"/>
      <c r="G27" s="8">
        <f t="shared" si="3"/>
        <v>2.1000000000000012E-2</v>
      </c>
      <c r="H27" s="7" t="s">
        <v>4</v>
      </c>
      <c r="I27" s="8">
        <v>3.8999999999999986E-2</v>
      </c>
      <c r="J27" s="260">
        <v>0.1678</v>
      </c>
      <c r="K27" s="79"/>
      <c r="L27" s="100">
        <f t="shared" si="4"/>
        <v>2.1000000000000012E-2</v>
      </c>
      <c r="M27" s="148" t="s">
        <v>4</v>
      </c>
      <c r="N27" s="7">
        <v>0.14699999999999999</v>
      </c>
      <c r="O27" s="19">
        <v>8.0399999999999999E-2</v>
      </c>
      <c r="P27" s="79"/>
      <c r="Q27" s="8">
        <f t="shared" si="5"/>
        <v>2.1000000000000012E-2</v>
      </c>
      <c r="R27" s="148" t="s">
        <v>4</v>
      </c>
      <c r="S27" s="7">
        <v>0.14699999999999999</v>
      </c>
      <c r="T27" s="19">
        <v>0.1195</v>
      </c>
      <c r="U27" s="79"/>
      <c r="V27" s="100">
        <f t="shared" si="6"/>
        <v>2.1000000000000012E-2</v>
      </c>
      <c r="W27" s="7">
        <v>0.15099999999999997</v>
      </c>
      <c r="X27" s="105">
        <v>8.2600000000000007E-2</v>
      </c>
      <c r="Y27" s="79"/>
    </row>
    <row r="28" spans="1:25" x14ac:dyDescent="0.25">
      <c r="A28" s="8">
        <f t="shared" si="2"/>
        <v>2.2000000000000013E-2</v>
      </c>
      <c r="B28" s="7" t="s">
        <v>4</v>
      </c>
      <c r="C28" s="9">
        <v>5.7999999999999989E-2</v>
      </c>
      <c r="D28" s="260">
        <v>0.16200000000000001</v>
      </c>
      <c r="E28" s="79"/>
      <c r="G28" s="8">
        <f t="shared" si="3"/>
        <v>2.2000000000000013E-2</v>
      </c>
      <c r="H28" s="7" t="s">
        <v>4</v>
      </c>
      <c r="I28" s="8">
        <v>3.7999999999999985E-2</v>
      </c>
      <c r="J28" s="260">
        <v>0.17399999999999999</v>
      </c>
      <c r="K28" s="79"/>
      <c r="L28" s="100">
        <f t="shared" si="4"/>
        <v>2.2000000000000013E-2</v>
      </c>
      <c r="M28" s="148" t="s">
        <v>4</v>
      </c>
      <c r="N28" s="7">
        <v>0.14599999999999999</v>
      </c>
      <c r="O28" s="19">
        <v>8.4500000000000006E-2</v>
      </c>
      <c r="P28" s="79"/>
      <c r="Q28" s="8">
        <f t="shared" si="5"/>
        <v>2.2000000000000013E-2</v>
      </c>
      <c r="R28" s="148" t="s">
        <v>4</v>
      </c>
      <c r="S28" s="7">
        <v>0.14599999999999999</v>
      </c>
      <c r="T28" s="19">
        <v>0.1236</v>
      </c>
      <c r="U28" s="79"/>
      <c r="V28" s="100">
        <f t="shared" si="6"/>
        <v>2.2000000000000013E-2</v>
      </c>
      <c r="W28" s="7">
        <v>0.14999999999999997</v>
      </c>
      <c r="X28" s="105">
        <v>8.6800000000000002E-2</v>
      </c>
      <c r="Y28" s="79"/>
    </row>
    <row r="29" spans="1:25" x14ac:dyDescent="0.25">
      <c r="A29" s="8">
        <f t="shared" si="2"/>
        <v>2.3000000000000013E-2</v>
      </c>
      <c r="B29" s="7" t="s">
        <v>4</v>
      </c>
      <c r="C29" s="9">
        <v>5.6999999999999988E-2</v>
      </c>
      <c r="D29" s="260">
        <v>0.16789999999999999</v>
      </c>
      <c r="E29" s="79"/>
      <c r="G29" s="8">
        <f t="shared" si="3"/>
        <v>2.3000000000000013E-2</v>
      </c>
      <c r="H29" s="7" t="s">
        <v>4</v>
      </c>
      <c r="I29" s="8">
        <v>3.6999999999999984E-2</v>
      </c>
      <c r="J29" s="260">
        <v>0.1802</v>
      </c>
      <c r="K29" s="79"/>
      <c r="L29" s="100">
        <f t="shared" si="4"/>
        <v>2.3000000000000013E-2</v>
      </c>
      <c r="M29" s="148" t="s">
        <v>4</v>
      </c>
      <c r="N29" s="7">
        <v>0.14499999999999999</v>
      </c>
      <c r="O29" s="19">
        <v>8.8599999999999998E-2</v>
      </c>
      <c r="P29" s="79"/>
      <c r="Q29" s="8">
        <f t="shared" si="5"/>
        <v>2.3000000000000013E-2</v>
      </c>
      <c r="R29" s="148" t="s">
        <v>4</v>
      </c>
      <c r="S29" s="7">
        <v>0.14499999999999999</v>
      </c>
      <c r="T29" s="19">
        <v>0.12770000000000001</v>
      </c>
      <c r="U29" s="79"/>
      <c r="V29" s="100">
        <f t="shared" si="6"/>
        <v>2.3000000000000013E-2</v>
      </c>
      <c r="W29" s="7">
        <v>0.14899999999999997</v>
      </c>
      <c r="X29" s="105">
        <v>9.0899999999999995E-2</v>
      </c>
      <c r="Y29" s="79"/>
    </row>
    <row r="30" spans="1:25" x14ac:dyDescent="0.25">
      <c r="A30" s="8">
        <f t="shared" si="2"/>
        <v>2.4000000000000014E-2</v>
      </c>
      <c r="B30" s="7" t="s">
        <v>4</v>
      </c>
      <c r="C30" s="9">
        <v>5.5999999999999987E-2</v>
      </c>
      <c r="D30" s="260">
        <v>0.17380000000000001</v>
      </c>
      <c r="E30" s="79"/>
      <c r="G30" s="8">
        <f t="shared" si="3"/>
        <v>2.4000000000000014E-2</v>
      </c>
      <c r="H30" s="7" t="s">
        <v>4</v>
      </c>
      <c r="I30" s="8">
        <v>3.5999999999999983E-2</v>
      </c>
      <c r="J30" s="260">
        <v>0.18629999999999999</v>
      </c>
      <c r="K30" s="79"/>
      <c r="L30" s="100">
        <f t="shared" si="4"/>
        <v>2.4000000000000014E-2</v>
      </c>
      <c r="M30" s="148" t="s">
        <v>4</v>
      </c>
      <c r="N30" s="7">
        <v>0.14399999999999999</v>
      </c>
      <c r="O30" s="19">
        <v>9.2700000000000005E-2</v>
      </c>
      <c r="P30" s="79"/>
      <c r="Q30" s="8">
        <f t="shared" si="5"/>
        <v>2.4000000000000014E-2</v>
      </c>
      <c r="R30" s="148" t="s">
        <v>4</v>
      </c>
      <c r="S30" s="7">
        <v>0.14399999999999999</v>
      </c>
      <c r="T30" s="19">
        <v>0.1318</v>
      </c>
      <c r="U30" s="79"/>
      <c r="V30" s="100">
        <f t="shared" si="6"/>
        <v>2.4000000000000014E-2</v>
      </c>
      <c r="W30" s="7">
        <v>0.14799999999999996</v>
      </c>
      <c r="X30" s="105">
        <v>9.5000000000000001E-2</v>
      </c>
      <c r="Y30" s="79"/>
    </row>
    <row r="31" spans="1:25" x14ac:dyDescent="0.25">
      <c r="A31" s="8">
        <f t="shared" si="2"/>
        <v>2.5000000000000015E-2</v>
      </c>
      <c r="B31" s="7" t="s">
        <v>4</v>
      </c>
      <c r="C31" s="9">
        <v>5.4999999999999986E-2</v>
      </c>
      <c r="D31" s="260">
        <v>0.17960000000000001</v>
      </c>
      <c r="E31" s="79"/>
      <c r="G31" s="8">
        <f t="shared" si="3"/>
        <v>2.5000000000000015E-2</v>
      </c>
      <c r="H31" s="7" t="s">
        <v>4</v>
      </c>
      <c r="I31" s="8">
        <v>3.4999999999999983E-2</v>
      </c>
      <c r="J31" s="260">
        <v>0.1925</v>
      </c>
      <c r="K31" s="79"/>
      <c r="L31" s="100">
        <f t="shared" si="4"/>
        <v>2.5000000000000015E-2</v>
      </c>
      <c r="M31" s="148" t="s">
        <v>4</v>
      </c>
      <c r="N31" s="7">
        <v>0.14299999999999999</v>
      </c>
      <c r="O31" s="19">
        <v>9.6799999999999997E-2</v>
      </c>
      <c r="P31" s="79"/>
      <c r="Q31" s="8">
        <f t="shared" si="5"/>
        <v>2.5000000000000015E-2</v>
      </c>
      <c r="R31" s="148" t="s">
        <v>4</v>
      </c>
      <c r="S31" s="7">
        <v>0.14299999999999999</v>
      </c>
      <c r="T31" s="19">
        <v>0.13589999999999999</v>
      </c>
      <c r="U31" s="79"/>
      <c r="V31" s="100">
        <f t="shared" si="6"/>
        <v>2.5000000000000015E-2</v>
      </c>
      <c r="W31" s="7">
        <v>0.14699999999999996</v>
      </c>
      <c r="X31" s="105">
        <v>9.9199999999999997E-2</v>
      </c>
      <c r="Y31" s="79"/>
    </row>
    <row r="32" spans="1:25" x14ac:dyDescent="0.25">
      <c r="A32" s="8">
        <f t="shared" si="2"/>
        <v>2.6000000000000016E-2</v>
      </c>
      <c r="B32" s="7" t="s">
        <v>4</v>
      </c>
      <c r="C32" s="9">
        <v>5.3999999999999986E-2</v>
      </c>
      <c r="D32" s="260">
        <v>0.18540000000000001</v>
      </c>
      <c r="E32" s="79"/>
      <c r="G32" s="8">
        <f t="shared" si="3"/>
        <v>2.6000000000000016E-2</v>
      </c>
      <c r="H32" s="7" t="s">
        <v>4</v>
      </c>
      <c r="I32" s="8">
        <v>3.3999999999999982E-2</v>
      </c>
      <c r="J32" s="260">
        <v>0.1986</v>
      </c>
      <c r="K32" s="79"/>
      <c r="L32" s="100">
        <f t="shared" si="4"/>
        <v>2.6000000000000016E-2</v>
      </c>
      <c r="M32" s="148" t="s">
        <v>4</v>
      </c>
      <c r="N32" s="7">
        <v>0.14199999999999999</v>
      </c>
      <c r="O32" s="19">
        <v>0.1009</v>
      </c>
      <c r="P32" s="79"/>
      <c r="Q32" s="8">
        <f t="shared" si="5"/>
        <v>2.6000000000000016E-2</v>
      </c>
      <c r="R32" s="148" t="s">
        <v>4</v>
      </c>
      <c r="S32" s="7">
        <v>0.14199999999999999</v>
      </c>
      <c r="T32" s="19">
        <v>0.14000000000000001</v>
      </c>
      <c r="U32" s="79"/>
      <c r="V32" s="100">
        <f t="shared" si="6"/>
        <v>2.6000000000000016E-2</v>
      </c>
      <c r="W32" s="7">
        <v>0.14599999999999996</v>
      </c>
      <c r="X32" s="105">
        <v>0.1033</v>
      </c>
      <c r="Y32" s="79"/>
    </row>
    <row r="33" spans="1:25" x14ac:dyDescent="0.25">
      <c r="A33" s="8">
        <f t="shared" si="2"/>
        <v>2.7000000000000017E-2</v>
      </c>
      <c r="B33" s="7" t="s">
        <v>4</v>
      </c>
      <c r="C33" s="9">
        <v>5.2999999999999985E-2</v>
      </c>
      <c r="D33" s="260">
        <v>0.19120000000000001</v>
      </c>
      <c r="E33" s="79"/>
      <c r="G33" s="8">
        <f t="shared" si="3"/>
        <v>2.7000000000000017E-2</v>
      </c>
      <c r="H33" s="7" t="s">
        <v>4</v>
      </c>
      <c r="I33" s="8">
        <v>3.2999999999999981E-2</v>
      </c>
      <c r="J33" s="260">
        <v>0.20469999999999999</v>
      </c>
      <c r="K33" s="79"/>
      <c r="L33" s="100">
        <f t="shared" si="4"/>
        <v>2.7000000000000017E-2</v>
      </c>
      <c r="M33" s="148" t="s">
        <v>4</v>
      </c>
      <c r="N33" s="7">
        <v>0.14099999999999999</v>
      </c>
      <c r="O33" s="19">
        <v>0.105</v>
      </c>
      <c r="P33" s="79"/>
      <c r="Q33" s="8">
        <f t="shared" si="5"/>
        <v>2.7000000000000017E-2</v>
      </c>
      <c r="R33" s="148" t="s">
        <v>4</v>
      </c>
      <c r="S33" s="7">
        <v>0.14099999999999999</v>
      </c>
      <c r="T33" s="19">
        <v>0.14410000000000001</v>
      </c>
      <c r="U33" s="79"/>
      <c r="V33" s="100">
        <f t="shared" si="6"/>
        <v>2.7000000000000017E-2</v>
      </c>
      <c r="W33" s="7">
        <v>0.14499999999999996</v>
      </c>
      <c r="X33" s="105">
        <v>0.1074</v>
      </c>
      <c r="Y33" s="79"/>
    </row>
    <row r="34" spans="1:25" x14ac:dyDescent="0.25">
      <c r="A34" s="8">
        <f t="shared" si="2"/>
        <v>2.8000000000000018E-2</v>
      </c>
      <c r="B34" s="7" t="s">
        <v>4</v>
      </c>
      <c r="C34" s="9">
        <v>5.1999999999999984E-2</v>
      </c>
      <c r="D34" s="260">
        <v>0.19700000000000001</v>
      </c>
      <c r="E34" s="79"/>
      <c r="G34" s="8">
        <f t="shared" si="3"/>
        <v>2.8000000000000018E-2</v>
      </c>
      <c r="H34" s="7" t="s">
        <v>4</v>
      </c>
      <c r="I34" s="8">
        <v>3.199999999999998E-2</v>
      </c>
      <c r="J34" s="260">
        <v>0.21079999999999999</v>
      </c>
      <c r="K34" s="79"/>
      <c r="L34" s="100">
        <f t="shared" si="4"/>
        <v>2.8000000000000018E-2</v>
      </c>
      <c r="M34" s="148" t="s">
        <v>4</v>
      </c>
      <c r="N34" s="7">
        <v>0.13999999999999999</v>
      </c>
      <c r="O34" s="19">
        <v>0.109</v>
      </c>
      <c r="P34" s="79"/>
      <c r="Q34" s="8">
        <f t="shared" si="5"/>
        <v>2.8000000000000018E-2</v>
      </c>
      <c r="R34" s="148" t="s">
        <v>4</v>
      </c>
      <c r="S34" s="7">
        <v>0.13999999999999999</v>
      </c>
      <c r="T34" s="19">
        <v>0.1482</v>
      </c>
      <c r="U34" s="79"/>
      <c r="V34" s="100">
        <f t="shared" si="6"/>
        <v>2.8000000000000018E-2</v>
      </c>
      <c r="W34" s="7">
        <v>0.14399999999999996</v>
      </c>
      <c r="X34" s="105">
        <v>0.1115</v>
      </c>
      <c r="Y34" s="79"/>
    </row>
    <row r="35" spans="1:25" x14ac:dyDescent="0.25">
      <c r="A35" s="8">
        <f t="shared" si="2"/>
        <v>2.9000000000000019E-2</v>
      </c>
      <c r="B35" s="7" t="s">
        <v>4</v>
      </c>
      <c r="C35" s="9">
        <v>5.0999999999999983E-2</v>
      </c>
      <c r="D35" s="260">
        <v>0.20280000000000001</v>
      </c>
      <c r="E35" s="79"/>
      <c r="G35" s="8">
        <f t="shared" si="3"/>
        <v>2.9000000000000019E-2</v>
      </c>
      <c r="H35" s="7" t="s">
        <v>4</v>
      </c>
      <c r="I35" s="8">
        <v>3.0999999999999979E-2</v>
      </c>
      <c r="J35" s="260">
        <v>0.21679999999999999</v>
      </c>
      <c r="K35" s="79"/>
      <c r="L35" s="100">
        <f t="shared" si="4"/>
        <v>2.9000000000000019E-2</v>
      </c>
      <c r="M35" s="148" t="s">
        <v>4</v>
      </c>
      <c r="N35" s="7">
        <v>0.13899999999999998</v>
      </c>
      <c r="O35" s="19">
        <v>0.11310000000000001</v>
      </c>
      <c r="P35" s="79"/>
      <c r="Q35" s="8">
        <f t="shared" si="5"/>
        <v>2.9000000000000019E-2</v>
      </c>
      <c r="R35" s="148" t="s">
        <v>4</v>
      </c>
      <c r="S35" s="7">
        <v>0.13899999999999998</v>
      </c>
      <c r="T35" s="19">
        <v>0.1522</v>
      </c>
      <c r="U35" s="79"/>
      <c r="V35" s="100">
        <f t="shared" si="6"/>
        <v>2.9000000000000019E-2</v>
      </c>
      <c r="W35" s="7">
        <v>0.14299999999999996</v>
      </c>
      <c r="X35" s="105">
        <v>0.11559999999999999</v>
      </c>
      <c r="Y35" s="79"/>
    </row>
    <row r="36" spans="1:25" x14ac:dyDescent="0.25">
      <c r="A36" s="8">
        <f t="shared" si="2"/>
        <v>3.000000000000002E-2</v>
      </c>
      <c r="B36" s="7" t="s">
        <v>4</v>
      </c>
      <c r="C36" s="9">
        <v>4.9999999999999982E-2</v>
      </c>
      <c r="D36" s="260">
        <v>0.20849999999999999</v>
      </c>
      <c r="E36" s="79"/>
      <c r="G36" s="8">
        <f t="shared" si="3"/>
        <v>3.000000000000002E-2</v>
      </c>
      <c r="H36" s="7" t="s">
        <v>4</v>
      </c>
      <c r="I36" s="8">
        <v>2.9999999999999978E-2</v>
      </c>
      <c r="J36" s="260">
        <v>0.2228</v>
      </c>
      <c r="K36" s="79"/>
      <c r="L36" s="100">
        <f t="shared" si="4"/>
        <v>3.000000000000002E-2</v>
      </c>
      <c r="M36" s="148" t="s">
        <v>4</v>
      </c>
      <c r="N36" s="7">
        <v>0.13799999999999998</v>
      </c>
      <c r="O36" s="19">
        <v>0.1171</v>
      </c>
      <c r="P36" s="79"/>
      <c r="Q36" s="8">
        <f t="shared" si="5"/>
        <v>3.000000000000002E-2</v>
      </c>
      <c r="R36" s="148" t="s">
        <v>4</v>
      </c>
      <c r="S36" s="7">
        <v>0.13799999999999998</v>
      </c>
      <c r="T36" s="19">
        <v>0.15629999999999999</v>
      </c>
      <c r="U36" s="79"/>
      <c r="V36" s="100">
        <f t="shared" si="6"/>
        <v>3.000000000000002E-2</v>
      </c>
      <c r="W36" s="7">
        <v>0.14199999999999996</v>
      </c>
      <c r="X36" s="105">
        <v>0.1197</v>
      </c>
      <c r="Y36" s="79"/>
    </row>
    <row r="37" spans="1:25" x14ac:dyDescent="0.25">
      <c r="A37" s="8">
        <f t="shared" si="2"/>
        <v>3.1000000000000021E-2</v>
      </c>
      <c r="B37" s="7" t="s">
        <v>4</v>
      </c>
      <c r="C37" s="9">
        <v>4.8999999999999981E-2</v>
      </c>
      <c r="D37" s="260">
        <v>0.2142</v>
      </c>
      <c r="E37" s="79"/>
      <c r="G37" s="8">
        <f t="shared" si="3"/>
        <v>3.1000000000000021E-2</v>
      </c>
      <c r="H37" s="7" t="s">
        <v>4</v>
      </c>
      <c r="I37" s="8">
        <v>2.8999999999999977E-2</v>
      </c>
      <c r="J37" s="260">
        <v>0.2676</v>
      </c>
      <c r="K37" s="79"/>
      <c r="L37" s="100">
        <f t="shared" si="4"/>
        <v>3.1000000000000021E-2</v>
      </c>
      <c r="M37" s="148" t="s">
        <v>4</v>
      </c>
      <c r="N37" s="7">
        <v>0.13699999999999998</v>
      </c>
      <c r="O37" s="19">
        <v>0.1212</v>
      </c>
      <c r="P37" s="79"/>
      <c r="Q37" s="8">
        <f t="shared" si="5"/>
        <v>3.1000000000000021E-2</v>
      </c>
      <c r="R37" s="148" t="s">
        <v>4</v>
      </c>
      <c r="S37" s="7">
        <v>0.13699999999999998</v>
      </c>
      <c r="T37" s="19">
        <v>0.1603</v>
      </c>
      <c r="U37" s="79"/>
      <c r="V37" s="100">
        <f t="shared" si="6"/>
        <v>3.1000000000000021E-2</v>
      </c>
      <c r="W37" s="7">
        <v>0.14099999999999996</v>
      </c>
      <c r="X37" s="105">
        <v>0.1237</v>
      </c>
      <c r="Y37" s="79"/>
    </row>
    <row r="38" spans="1:25" x14ac:dyDescent="0.25">
      <c r="A38" s="8">
        <f t="shared" si="2"/>
        <v>3.2000000000000021E-2</v>
      </c>
      <c r="B38" s="7" t="s">
        <v>4</v>
      </c>
      <c r="C38" s="9">
        <v>4.799999999999998E-2</v>
      </c>
      <c r="D38" s="260">
        <v>0.21990000000000001</v>
      </c>
      <c r="E38" s="79"/>
      <c r="G38" s="8">
        <f t="shared" si="3"/>
        <v>3.2000000000000021E-2</v>
      </c>
      <c r="H38" s="7" t="s">
        <v>4</v>
      </c>
      <c r="I38" s="8">
        <v>2.7999999999999976E-2</v>
      </c>
      <c r="J38" s="260">
        <v>0.27450000000000002</v>
      </c>
      <c r="K38" s="79"/>
      <c r="L38" s="100">
        <f t="shared" si="4"/>
        <v>3.2000000000000021E-2</v>
      </c>
      <c r="M38" s="148" t="s">
        <v>4</v>
      </c>
      <c r="N38" s="7">
        <v>0.13599999999999998</v>
      </c>
      <c r="O38" s="19">
        <v>0.12520000000000001</v>
      </c>
      <c r="P38" s="79"/>
      <c r="Q38" s="8">
        <f t="shared" si="5"/>
        <v>3.2000000000000021E-2</v>
      </c>
      <c r="R38" s="148" t="s">
        <v>4</v>
      </c>
      <c r="S38" s="7">
        <v>0.13599999999999998</v>
      </c>
      <c r="T38" s="19">
        <v>0.16439999999999999</v>
      </c>
      <c r="U38" s="79"/>
      <c r="V38" s="100">
        <f t="shared" si="6"/>
        <v>3.2000000000000021E-2</v>
      </c>
      <c r="W38" s="7">
        <v>0.13999999999999996</v>
      </c>
      <c r="X38" s="105">
        <v>0.1278</v>
      </c>
      <c r="Y38" s="79"/>
    </row>
    <row r="39" spans="1:25" x14ac:dyDescent="0.25">
      <c r="A39" s="8">
        <f t="shared" si="2"/>
        <v>3.3000000000000022E-2</v>
      </c>
      <c r="B39" s="7" t="s">
        <v>4</v>
      </c>
      <c r="C39" s="9">
        <v>4.6999999999999979E-2</v>
      </c>
      <c r="D39" s="260">
        <v>0.22559999999999999</v>
      </c>
      <c r="E39" s="79"/>
      <c r="G39" s="8">
        <f t="shared" si="3"/>
        <v>3.3000000000000022E-2</v>
      </c>
      <c r="H39" s="7" t="s">
        <v>4</v>
      </c>
      <c r="I39" s="8">
        <v>2.6999999999999975E-2</v>
      </c>
      <c r="J39" s="260">
        <v>0.28139999999999998</v>
      </c>
      <c r="K39" s="79"/>
      <c r="L39" s="100">
        <f t="shared" si="4"/>
        <v>3.3000000000000022E-2</v>
      </c>
      <c r="M39" s="148" t="s">
        <v>4</v>
      </c>
      <c r="N39" s="7">
        <v>0.13499999999999998</v>
      </c>
      <c r="O39" s="19">
        <v>0.12920000000000001</v>
      </c>
      <c r="P39" s="79"/>
      <c r="Q39" s="8">
        <f t="shared" si="5"/>
        <v>3.3000000000000022E-2</v>
      </c>
      <c r="R39" s="148" t="s">
        <v>4</v>
      </c>
      <c r="S39" s="7">
        <v>0.13499999999999998</v>
      </c>
      <c r="T39" s="19">
        <v>0.16839999999999999</v>
      </c>
      <c r="U39" s="79"/>
      <c r="V39" s="100">
        <f t="shared" si="6"/>
        <v>3.3000000000000022E-2</v>
      </c>
      <c r="W39" s="7">
        <v>0.13899999999999996</v>
      </c>
      <c r="X39" s="105">
        <v>0.13189999999999999</v>
      </c>
      <c r="Y39" s="79"/>
    </row>
    <row r="40" spans="1:25" x14ac:dyDescent="0.25">
      <c r="A40" s="8">
        <f t="shared" si="2"/>
        <v>3.4000000000000023E-2</v>
      </c>
      <c r="B40" s="7" t="s">
        <v>4</v>
      </c>
      <c r="C40" s="9">
        <v>4.5999999999999978E-2</v>
      </c>
      <c r="D40" s="260">
        <v>0.23130000000000001</v>
      </c>
      <c r="E40" s="79"/>
      <c r="G40" s="8">
        <f t="shared" si="3"/>
        <v>3.4000000000000023E-2</v>
      </c>
      <c r="H40" s="7" t="s">
        <v>4</v>
      </c>
      <c r="I40" s="8">
        <v>2.5999999999999975E-2</v>
      </c>
      <c r="J40" s="260">
        <v>0.2883</v>
      </c>
      <c r="K40" s="79"/>
      <c r="L40" s="100">
        <f t="shared" si="4"/>
        <v>3.4000000000000023E-2</v>
      </c>
      <c r="M40" s="148" t="s">
        <v>4</v>
      </c>
      <c r="N40" s="7">
        <v>0.13399999999999998</v>
      </c>
      <c r="O40" s="19">
        <v>0.13320000000000001</v>
      </c>
      <c r="P40" s="79"/>
      <c r="Q40" s="8">
        <f t="shared" si="5"/>
        <v>3.4000000000000023E-2</v>
      </c>
      <c r="R40" s="148" t="s">
        <v>4</v>
      </c>
      <c r="S40" s="7">
        <v>0.13399999999999998</v>
      </c>
      <c r="T40" s="19">
        <v>0.1724</v>
      </c>
      <c r="U40" s="79"/>
      <c r="V40" s="100">
        <f t="shared" si="6"/>
        <v>3.4000000000000023E-2</v>
      </c>
      <c r="W40" s="7">
        <v>0.13799999999999996</v>
      </c>
      <c r="X40" s="105">
        <v>0.13589999999999999</v>
      </c>
      <c r="Y40" s="79"/>
    </row>
    <row r="41" spans="1:25" x14ac:dyDescent="0.25">
      <c r="A41" s="8">
        <f t="shared" si="2"/>
        <v>3.5000000000000024E-2</v>
      </c>
      <c r="B41" s="7" t="s">
        <v>4</v>
      </c>
      <c r="C41" s="9">
        <v>4.4999999999999978E-2</v>
      </c>
      <c r="D41" s="260">
        <v>0.2369</v>
      </c>
      <c r="E41" s="79"/>
      <c r="G41" s="8">
        <f t="shared" si="3"/>
        <v>3.5000000000000024E-2</v>
      </c>
      <c r="H41" s="7" t="s">
        <v>4</v>
      </c>
      <c r="I41" s="8">
        <v>2.4999999999999974E-2</v>
      </c>
      <c r="J41" s="260">
        <v>0.29520000000000002</v>
      </c>
      <c r="K41" s="79"/>
      <c r="L41" s="100">
        <f t="shared" si="4"/>
        <v>3.5000000000000024E-2</v>
      </c>
      <c r="M41" s="148" t="s">
        <v>4</v>
      </c>
      <c r="N41" s="7">
        <v>0.13299999999999998</v>
      </c>
      <c r="O41" s="19">
        <v>0.13730000000000001</v>
      </c>
      <c r="P41" s="79"/>
      <c r="Q41" s="8">
        <f t="shared" si="5"/>
        <v>3.5000000000000024E-2</v>
      </c>
      <c r="R41" s="148" t="s">
        <v>4</v>
      </c>
      <c r="S41" s="7">
        <v>0.13299999999999998</v>
      </c>
      <c r="T41" s="19">
        <v>0.17649999999999999</v>
      </c>
      <c r="U41" s="79"/>
      <c r="V41" s="100">
        <f t="shared" si="6"/>
        <v>3.5000000000000024E-2</v>
      </c>
      <c r="W41" s="7">
        <v>0.13699999999999996</v>
      </c>
      <c r="X41" s="105">
        <v>0.14000000000000001</v>
      </c>
      <c r="Y41" s="79"/>
    </row>
    <row r="42" spans="1:25" x14ac:dyDescent="0.25">
      <c r="A42" s="8">
        <f t="shared" si="2"/>
        <v>3.6000000000000025E-2</v>
      </c>
      <c r="B42" s="7" t="s">
        <v>4</v>
      </c>
      <c r="C42" s="9">
        <v>4.3999999999999977E-2</v>
      </c>
      <c r="D42" s="260">
        <v>0.24249999999999999</v>
      </c>
      <c r="E42" s="79"/>
      <c r="G42" s="8">
        <f t="shared" si="3"/>
        <v>3.6000000000000025E-2</v>
      </c>
      <c r="H42" s="7" t="s">
        <v>4</v>
      </c>
      <c r="I42" s="8">
        <v>2.3999999999999973E-2</v>
      </c>
      <c r="J42" s="260">
        <v>0.30199999999999999</v>
      </c>
      <c r="K42" s="79"/>
      <c r="L42" s="100">
        <f t="shared" si="4"/>
        <v>3.6000000000000025E-2</v>
      </c>
      <c r="M42" s="148" t="s">
        <v>4</v>
      </c>
      <c r="N42" s="7">
        <v>0.13199999999999998</v>
      </c>
      <c r="O42" s="19">
        <v>0.14130000000000001</v>
      </c>
      <c r="P42" s="79"/>
      <c r="Q42" s="8">
        <f t="shared" si="5"/>
        <v>3.6000000000000025E-2</v>
      </c>
      <c r="R42" s="148" t="s">
        <v>4</v>
      </c>
      <c r="S42" s="7">
        <v>0.13199999999999998</v>
      </c>
      <c r="T42" s="19">
        <v>0.18049999999999999</v>
      </c>
      <c r="U42" s="79"/>
      <c r="V42" s="100">
        <f t="shared" si="6"/>
        <v>3.6000000000000025E-2</v>
      </c>
      <c r="W42" s="7">
        <v>0.13599999999999995</v>
      </c>
      <c r="X42" s="105">
        <v>0.14399999999999999</v>
      </c>
      <c r="Y42" s="79"/>
    </row>
    <row r="43" spans="1:25" x14ac:dyDescent="0.25">
      <c r="A43" s="8">
        <f t="shared" si="2"/>
        <v>3.7000000000000026E-2</v>
      </c>
      <c r="B43" s="7" t="s">
        <v>4</v>
      </c>
      <c r="C43" s="9">
        <v>4.2999999999999976E-2</v>
      </c>
      <c r="D43" s="260">
        <v>0.24809999999999999</v>
      </c>
      <c r="E43" s="79"/>
      <c r="G43" s="8">
        <f t="shared" si="3"/>
        <v>3.7000000000000026E-2</v>
      </c>
      <c r="H43" s="7" t="s">
        <v>4</v>
      </c>
      <c r="I43" s="8">
        <v>2.2999999999999972E-2</v>
      </c>
      <c r="J43" s="260">
        <v>0.30880000000000002</v>
      </c>
      <c r="K43" s="79"/>
      <c r="L43" s="100">
        <f t="shared" si="4"/>
        <v>3.7000000000000026E-2</v>
      </c>
      <c r="M43" s="148" t="s">
        <v>4</v>
      </c>
      <c r="N43" s="7">
        <v>0.13099999999999998</v>
      </c>
      <c r="O43" s="19">
        <v>0.14530000000000001</v>
      </c>
      <c r="P43" s="79"/>
      <c r="Q43" s="8">
        <f t="shared" si="5"/>
        <v>3.7000000000000026E-2</v>
      </c>
      <c r="R43" s="148" t="s">
        <v>4</v>
      </c>
      <c r="S43" s="7">
        <v>0.13099999999999998</v>
      </c>
      <c r="T43" s="19">
        <v>0.1845</v>
      </c>
      <c r="U43" s="79"/>
      <c r="V43" s="100">
        <f t="shared" si="6"/>
        <v>3.7000000000000026E-2</v>
      </c>
      <c r="W43" s="7">
        <v>0.13499999999999995</v>
      </c>
      <c r="X43" s="105">
        <v>0.14810000000000001</v>
      </c>
      <c r="Y43" s="79"/>
    </row>
    <row r="44" spans="1:25" x14ac:dyDescent="0.25">
      <c r="A44" s="8">
        <f>A43+0.1%</f>
        <v>3.8000000000000027E-2</v>
      </c>
      <c r="B44" s="7" t="s">
        <v>4</v>
      </c>
      <c r="C44" s="9">
        <v>4.1999999999999975E-2</v>
      </c>
      <c r="D44" s="260">
        <v>0.25369999999999998</v>
      </c>
      <c r="E44" s="79"/>
      <c r="G44" s="8">
        <f t="shared" si="3"/>
        <v>3.8000000000000027E-2</v>
      </c>
      <c r="H44" s="7" t="s">
        <v>4</v>
      </c>
      <c r="I44" s="8">
        <v>2.1999999999999971E-2</v>
      </c>
      <c r="J44" s="260">
        <v>0.3155</v>
      </c>
      <c r="K44" s="79"/>
      <c r="L44" s="100">
        <f t="shared" si="4"/>
        <v>3.8000000000000027E-2</v>
      </c>
      <c r="M44" s="148" t="s">
        <v>4</v>
      </c>
      <c r="N44" s="7">
        <v>0.12999999999999998</v>
      </c>
      <c r="O44" s="19">
        <v>0.1492</v>
      </c>
      <c r="P44" s="79"/>
      <c r="Q44" s="8">
        <f t="shared" si="5"/>
        <v>3.8000000000000027E-2</v>
      </c>
      <c r="R44" s="148" t="s">
        <v>4</v>
      </c>
      <c r="S44" s="7">
        <v>0.12999999999999998</v>
      </c>
      <c r="T44" s="19">
        <v>0.1885</v>
      </c>
      <c r="U44" s="79"/>
      <c r="V44" s="100">
        <f t="shared" si="6"/>
        <v>3.8000000000000027E-2</v>
      </c>
      <c r="W44" s="7">
        <v>0.13399999999999995</v>
      </c>
      <c r="X44" s="105">
        <v>0.15210000000000001</v>
      </c>
      <c r="Y44" s="79"/>
    </row>
    <row r="45" spans="1:25" x14ac:dyDescent="0.25">
      <c r="A45" s="8">
        <f t="shared" ref="A45:A46" si="7">A44+0.1%</f>
        <v>3.9000000000000028E-2</v>
      </c>
      <c r="B45" s="7" t="s">
        <v>4</v>
      </c>
      <c r="C45" s="9">
        <v>4.0999999999999974E-2</v>
      </c>
      <c r="D45" s="260">
        <v>0.25929999999999997</v>
      </c>
      <c r="E45" s="79"/>
      <c r="G45" s="8">
        <f t="shared" si="3"/>
        <v>3.9000000000000028E-2</v>
      </c>
      <c r="H45" s="7" t="s">
        <v>4</v>
      </c>
      <c r="I45" s="8">
        <v>2.099999999999997E-2</v>
      </c>
      <c r="J45" s="260">
        <v>0.32229999999999998</v>
      </c>
      <c r="K45" s="79"/>
      <c r="L45" s="100">
        <f t="shared" si="4"/>
        <v>3.9000000000000028E-2</v>
      </c>
      <c r="M45" s="148" t="s">
        <v>4</v>
      </c>
      <c r="N45" s="7">
        <v>0.12899999999999998</v>
      </c>
      <c r="O45" s="19">
        <v>0.1532</v>
      </c>
      <c r="P45" s="79"/>
      <c r="Q45" s="8">
        <f t="shared" si="5"/>
        <v>3.9000000000000028E-2</v>
      </c>
      <c r="R45" s="148" t="s">
        <v>4</v>
      </c>
      <c r="S45" s="7">
        <v>0.12899999999999998</v>
      </c>
      <c r="T45" s="19">
        <v>0.19239999999999999</v>
      </c>
      <c r="U45" s="79"/>
      <c r="V45" s="100">
        <f t="shared" si="6"/>
        <v>3.9000000000000028E-2</v>
      </c>
      <c r="W45" s="7">
        <v>0.13299999999999995</v>
      </c>
      <c r="X45" s="105">
        <v>0.15609999999999999</v>
      </c>
      <c r="Y45" s="79"/>
    </row>
    <row r="46" spans="1:25" x14ac:dyDescent="0.25">
      <c r="A46" s="8">
        <f t="shared" si="7"/>
        <v>4.0000000000000029E-2</v>
      </c>
      <c r="B46" s="7" t="s">
        <v>4</v>
      </c>
      <c r="C46" s="9">
        <v>3.9999999999999973E-2</v>
      </c>
      <c r="D46" s="260">
        <v>0.26479999999999998</v>
      </c>
      <c r="E46" s="79"/>
      <c r="G46" s="8">
        <f t="shared" si="3"/>
        <v>4.0000000000000029E-2</v>
      </c>
      <c r="H46" s="7" t="s">
        <v>4</v>
      </c>
      <c r="I46" s="8">
        <v>1.9999999999999969E-2</v>
      </c>
      <c r="J46" s="260">
        <v>0.32900000000000001</v>
      </c>
      <c r="K46" s="79"/>
      <c r="L46" s="100">
        <f t="shared" si="4"/>
        <v>4.0000000000000029E-2</v>
      </c>
      <c r="M46" s="148" t="s">
        <v>4</v>
      </c>
      <c r="N46" s="7">
        <v>0.12799999999999997</v>
      </c>
      <c r="O46" s="19">
        <v>0.15720000000000001</v>
      </c>
      <c r="P46" s="79"/>
      <c r="Q46" s="8">
        <f t="shared" si="5"/>
        <v>4.0000000000000029E-2</v>
      </c>
      <c r="R46" s="148" t="s">
        <v>4</v>
      </c>
      <c r="S46" s="7">
        <v>0.12799999999999997</v>
      </c>
      <c r="T46" s="19">
        <v>0.19639999999999999</v>
      </c>
      <c r="U46" s="79"/>
      <c r="V46" s="100">
        <f t="shared" si="6"/>
        <v>4.0000000000000029E-2</v>
      </c>
      <c r="W46" s="7">
        <v>0.13199999999999995</v>
      </c>
      <c r="X46" s="105">
        <v>0.16009999999999999</v>
      </c>
      <c r="Y46" s="79"/>
    </row>
    <row r="47" spans="1:25" x14ac:dyDescent="0.25">
      <c r="A47" s="10"/>
      <c r="B47" s="11"/>
      <c r="C47" s="14"/>
      <c r="D47" s="14"/>
      <c r="G47" s="10"/>
      <c r="H47" s="11"/>
      <c r="I47" s="14"/>
      <c r="J47" s="14"/>
      <c r="L47" s="100">
        <f t="shared" si="4"/>
        <v>4.1000000000000029E-2</v>
      </c>
      <c r="M47" s="148" t="s">
        <v>4</v>
      </c>
      <c r="N47" s="7">
        <v>0.12699999999999997</v>
      </c>
      <c r="O47" s="19">
        <v>0.16120000000000001</v>
      </c>
      <c r="P47" s="79"/>
      <c r="Q47" s="8">
        <f t="shared" si="5"/>
        <v>4.1000000000000029E-2</v>
      </c>
      <c r="R47" s="148" t="s">
        <v>4</v>
      </c>
      <c r="S47" s="7">
        <v>0.12699999999999997</v>
      </c>
      <c r="T47" s="19">
        <v>0.20039999999999999</v>
      </c>
      <c r="U47" s="79"/>
      <c r="V47" s="100">
        <f t="shared" si="6"/>
        <v>4.1000000000000029E-2</v>
      </c>
      <c r="W47" s="7">
        <v>0.13099999999999995</v>
      </c>
      <c r="X47" s="105">
        <v>0.1641</v>
      </c>
      <c r="Y47" s="79"/>
    </row>
    <row r="48" spans="1:25" x14ac:dyDescent="0.25">
      <c r="A48" s="10"/>
      <c r="B48" s="11"/>
      <c r="C48" s="14"/>
      <c r="D48" s="14"/>
      <c r="G48" s="10"/>
      <c r="H48" s="11"/>
      <c r="I48" s="14"/>
      <c r="J48" s="14"/>
      <c r="L48" s="100">
        <f t="shared" si="4"/>
        <v>4.200000000000003E-2</v>
      </c>
      <c r="M48" s="148" t="s">
        <v>4</v>
      </c>
      <c r="N48" s="7">
        <v>0.12599999999999997</v>
      </c>
      <c r="O48" s="19">
        <v>0.1651</v>
      </c>
      <c r="P48" s="79"/>
      <c r="Q48" s="8">
        <f t="shared" si="5"/>
        <v>4.200000000000003E-2</v>
      </c>
      <c r="R48" s="148" t="s">
        <v>4</v>
      </c>
      <c r="S48" s="7">
        <v>0.12599999999999997</v>
      </c>
      <c r="T48" s="19">
        <v>0.2044</v>
      </c>
      <c r="U48" s="79"/>
      <c r="V48" s="100">
        <f t="shared" si="6"/>
        <v>4.200000000000003E-2</v>
      </c>
      <c r="W48" s="7">
        <v>0.12999999999999995</v>
      </c>
      <c r="X48" s="105">
        <v>0.1681</v>
      </c>
      <c r="Y48" s="79"/>
    </row>
    <row r="49" spans="1:25" x14ac:dyDescent="0.25">
      <c r="A49" s="10"/>
      <c r="B49" s="11"/>
      <c r="C49" s="14"/>
      <c r="D49" s="14"/>
      <c r="G49" s="10"/>
      <c r="H49" s="11"/>
      <c r="I49" s="14"/>
      <c r="J49" s="14"/>
      <c r="L49" s="100">
        <f>L48+0.1%</f>
        <v>4.3000000000000031E-2</v>
      </c>
      <c r="M49" s="148" t="s">
        <v>4</v>
      </c>
      <c r="N49" s="7">
        <v>0.12499999999999997</v>
      </c>
      <c r="O49" s="19">
        <v>0.1691</v>
      </c>
      <c r="P49" s="79"/>
      <c r="Q49" s="8">
        <f t="shared" si="5"/>
        <v>4.3000000000000031E-2</v>
      </c>
      <c r="R49" s="148" t="s">
        <v>4</v>
      </c>
      <c r="S49" s="7">
        <v>0.12499999999999997</v>
      </c>
      <c r="T49" s="19">
        <v>0.20830000000000001</v>
      </c>
      <c r="U49" s="79"/>
      <c r="V49" s="100">
        <f t="shared" si="6"/>
        <v>4.3000000000000031E-2</v>
      </c>
      <c r="W49" s="7">
        <v>0.12899999999999995</v>
      </c>
      <c r="X49" s="105">
        <v>0.1721</v>
      </c>
      <c r="Y49" s="79"/>
    </row>
    <row r="50" spans="1:25" x14ac:dyDescent="0.25">
      <c r="A50" s="10"/>
      <c r="B50" s="11"/>
      <c r="C50" s="14"/>
      <c r="D50" s="14"/>
      <c r="G50" s="10"/>
      <c r="H50" s="11"/>
      <c r="I50" s="14"/>
      <c r="J50" s="14"/>
      <c r="L50" s="100">
        <f t="shared" si="4"/>
        <v>4.4000000000000032E-2</v>
      </c>
      <c r="M50" s="148" t="s">
        <v>4</v>
      </c>
      <c r="N50" s="7">
        <v>0.12399999999999997</v>
      </c>
      <c r="O50" s="19">
        <v>0.17299999999999999</v>
      </c>
      <c r="P50" s="79"/>
      <c r="Q50" s="8">
        <f t="shared" si="5"/>
        <v>4.4000000000000032E-2</v>
      </c>
      <c r="R50" s="148" t="s">
        <v>4</v>
      </c>
      <c r="S50" s="7">
        <v>0.12399999999999997</v>
      </c>
      <c r="T50" s="19">
        <v>0.21229999999999999</v>
      </c>
      <c r="U50" s="79"/>
      <c r="V50" s="100">
        <f t="shared" si="6"/>
        <v>4.4000000000000032E-2</v>
      </c>
      <c r="W50" s="7">
        <v>0.12799999999999995</v>
      </c>
      <c r="X50" s="105">
        <v>0.17610000000000001</v>
      </c>
      <c r="Y50" s="79"/>
    </row>
    <row r="51" spans="1:25" x14ac:dyDescent="0.25">
      <c r="A51" s="10"/>
      <c r="B51" s="11"/>
      <c r="C51" s="14"/>
      <c r="D51" s="14"/>
      <c r="G51" s="10"/>
      <c r="H51" s="11"/>
      <c r="I51" s="14"/>
      <c r="J51" s="14"/>
      <c r="L51" s="100">
        <f t="shared" si="4"/>
        <v>4.5000000000000033E-2</v>
      </c>
      <c r="M51" s="148" t="s">
        <v>4</v>
      </c>
      <c r="N51" s="7">
        <v>0.12299999999999997</v>
      </c>
      <c r="O51" s="19">
        <v>0.1769</v>
      </c>
      <c r="P51" s="79"/>
      <c r="Q51" s="8">
        <f t="shared" si="5"/>
        <v>4.5000000000000033E-2</v>
      </c>
      <c r="R51" s="148" t="s">
        <v>4</v>
      </c>
      <c r="S51" s="7">
        <v>0.12299999999999997</v>
      </c>
      <c r="T51" s="19">
        <v>0.2162</v>
      </c>
      <c r="U51" s="79"/>
      <c r="V51" s="100">
        <f t="shared" si="6"/>
        <v>4.5000000000000033E-2</v>
      </c>
      <c r="W51" s="7">
        <v>0.12699999999999995</v>
      </c>
      <c r="X51" s="105">
        <v>0.18</v>
      </c>
      <c r="Y51" s="79"/>
    </row>
    <row r="52" spans="1:25" x14ac:dyDescent="0.25">
      <c r="A52" s="10"/>
      <c r="B52" s="11"/>
      <c r="C52" s="80"/>
      <c r="D52" s="81"/>
      <c r="G52" s="10"/>
      <c r="H52" s="11"/>
      <c r="I52" s="14"/>
      <c r="J52" s="14"/>
      <c r="L52" s="100">
        <f t="shared" si="4"/>
        <v>4.6000000000000034E-2</v>
      </c>
      <c r="M52" s="148" t="s">
        <v>4</v>
      </c>
      <c r="N52" s="7">
        <v>0.12199999999999997</v>
      </c>
      <c r="O52" s="19">
        <v>0.18090000000000001</v>
      </c>
      <c r="P52" s="79"/>
      <c r="Q52" s="8">
        <f t="shared" si="5"/>
        <v>4.6000000000000034E-2</v>
      </c>
      <c r="R52" s="148" t="s">
        <v>4</v>
      </c>
      <c r="S52" s="7">
        <v>0.12199999999999997</v>
      </c>
      <c r="T52" s="19">
        <v>0.22009999999999999</v>
      </c>
      <c r="U52" s="79"/>
      <c r="V52" s="100">
        <f t="shared" si="6"/>
        <v>4.6000000000000034E-2</v>
      </c>
      <c r="W52" s="7">
        <v>0.12599999999999995</v>
      </c>
      <c r="X52" s="105">
        <v>0.184</v>
      </c>
      <c r="Y52" s="79"/>
    </row>
    <row r="53" spans="1:25" x14ac:dyDescent="0.25">
      <c r="A53" s="10"/>
      <c r="B53" s="11"/>
      <c r="C53" s="80"/>
      <c r="D53" s="81"/>
      <c r="G53" s="10"/>
      <c r="H53" s="11"/>
      <c r="I53" s="14"/>
      <c r="J53" s="14"/>
      <c r="L53" s="100">
        <f t="shared" si="4"/>
        <v>4.7000000000000035E-2</v>
      </c>
      <c r="M53" s="148" t="s">
        <v>4</v>
      </c>
      <c r="N53" s="7">
        <v>0.12099999999999997</v>
      </c>
      <c r="O53" s="19">
        <v>0.18479999999999999</v>
      </c>
      <c r="P53" s="79"/>
      <c r="Q53" s="8">
        <f t="shared" si="5"/>
        <v>4.7000000000000035E-2</v>
      </c>
      <c r="R53" s="148" t="s">
        <v>4</v>
      </c>
      <c r="S53" s="7">
        <v>0.12099999999999997</v>
      </c>
      <c r="T53" s="19">
        <v>0.22409999999999999</v>
      </c>
      <c r="U53" s="79"/>
      <c r="V53" s="100">
        <f t="shared" si="6"/>
        <v>4.7000000000000035E-2</v>
      </c>
      <c r="W53" s="7">
        <v>0.12499999999999994</v>
      </c>
      <c r="X53" s="105">
        <v>0.188</v>
      </c>
      <c r="Y53" s="79"/>
    </row>
    <row r="54" spans="1:25" x14ac:dyDescent="0.25">
      <c r="A54" s="10"/>
      <c r="B54" s="11"/>
      <c r="C54" s="80"/>
      <c r="D54" s="81"/>
      <c r="G54" s="10"/>
      <c r="H54" s="11"/>
      <c r="I54" s="14"/>
      <c r="J54" s="14"/>
      <c r="L54" s="100">
        <f t="shared" si="4"/>
        <v>4.8000000000000036E-2</v>
      </c>
      <c r="M54" s="148" t="s">
        <v>4</v>
      </c>
      <c r="N54" s="7">
        <v>0.11999999999999997</v>
      </c>
      <c r="O54" s="19">
        <v>0.18870000000000001</v>
      </c>
      <c r="P54" s="79"/>
      <c r="Q54" s="8">
        <f t="shared" si="5"/>
        <v>4.8000000000000036E-2</v>
      </c>
      <c r="R54" s="148" t="s">
        <v>4</v>
      </c>
      <c r="S54" s="7">
        <v>0.11999999999999997</v>
      </c>
      <c r="T54" s="19">
        <v>0.22800000000000001</v>
      </c>
      <c r="U54" s="79"/>
      <c r="V54" s="100">
        <f t="shared" si="6"/>
        <v>4.8000000000000036E-2</v>
      </c>
      <c r="W54" s="7">
        <v>0.12399999999999994</v>
      </c>
      <c r="X54" s="105">
        <v>0.19189999999999999</v>
      </c>
      <c r="Y54" s="79"/>
    </row>
    <row r="55" spans="1:25" x14ac:dyDescent="0.25">
      <c r="A55" s="10"/>
      <c r="B55" s="11"/>
      <c r="C55" s="80"/>
      <c r="D55" s="81"/>
      <c r="G55" s="10"/>
      <c r="H55" s="11"/>
      <c r="I55" s="14"/>
      <c r="J55" s="14"/>
      <c r="L55" s="100">
        <f t="shared" si="4"/>
        <v>4.9000000000000037E-2</v>
      </c>
      <c r="M55" s="148" t="s">
        <v>4</v>
      </c>
      <c r="N55" s="7">
        <v>0.11899999999999997</v>
      </c>
      <c r="O55" s="19">
        <v>0.19259999999999999</v>
      </c>
      <c r="P55" s="79"/>
      <c r="Q55" s="8">
        <f t="shared" si="5"/>
        <v>4.9000000000000037E-2</v>
      </c>
      <c r="R55" s="148" t="s">
        <v>4</v>
      </c>
      <c r="S55" s="7">
        <v>0.11899999999999997</v>
      </c>
      <c r="T55" s="149">
        <v>0.2319</v>
      </c>
      <c r="U55" s="79"/>
      <c r="V55" s="100">
        <f t="shared" si="6"/>
        <v>4.9000000000000037E-2</v>
      </c>
      <c r="W55" s="7">
        <v>0.12299999999999994</v>
      </c>
      <c r="X55" s="105">
        <v>0.1958</v>
      </c>
      <c r="Y55" s="79"/>
    </row>
    <row r="56" spans="1:25" x14ac:dyDescent="0.25">
      <c r="A56" s="10"/>
      <c r="B56" s="11"/>
      <c r="C56" s="80"/>
      <c r="D56" s="81"/>
      <c r="G56" s="13"/>
      <c r="H56" s="11"/>
      <c r="I56" s="12"/>
      <c r="L56" s="100">
        <f t="shared" si="4"/>
        <v>5.0000000000000037E-2</v>
      </c>
      <c r="M56" s="148" t="s">
        <v>4</v>
      </c>
      <c r="N56" s="7">
        <v>0.11799999999999997</v>
      </c>
      <c r="O56" s="19">
        <v>0.19650000000000001</v>
      </c>
      <c r="P56" s="79"/>
      <c r="Q56" s="8">
        <f t="shared" si="5"/>
        <v>5.0000000000000037E-2</v>
      </c>
      <c r="R56" s="148" t="s">
        <v>4</v>
      </c>
      <c r="S56" s="7">
        <v>0.11799999999999997</v>
      </c>
      <c r="T56" s="149">
        <v>0.23580000000000001</v>
      </c>
      <c r="V56" s="100">
        <f t="shared" si="6"/>
        <v>5.0000000000000037E-2</v>
      </c>
      <c r="W56" s="7">
        <v>0.12199999999999994</v>
      </c>
      <c r="X56" s="105">
        <v>0.19980000000000001</v>
      </c>
      <c r="Y56" s="79"/>
    </row>
    <row r="57" spans="1:25" x14ac:dyDescent="0.25">
      <c r="A57" s="10"/>
      <c r="B57" s="11"/>
      <c r="C57" s="80"/>
      <c r="D57" s="81"/>
      <c r="G57" s="13"/>
      <c r="H57" s="16"/>
      <c r="I57" s="12"/>
      <c r="L57" s="100">
        <f t="shared" si="4"/>
        <v>5.1000000000000038E-2</v>
      </c>
      <c r="M57" s="148" t="s">
        <v>4</v>
      </c>
      <c r="N57" s="7">
        <v>0.11699999999999997</v>
      </c>
      <c r="O57" s="19">
        <v>0.20039999999999999</v>
      </c>
      <c r="P57" s="79"/>
      <c r="Q57" s="8">
        <f t="shared" si="5"/>
        <v>5.1000000000000038E-2</v>
      </c>
      <c r="R57" s="148" t="s">
        <v>4</v>
      </c>
      <c r="S57" s="7">
        <v>0.11699999999999997</v>
      </c>
      <c r="T57" s="149">
        <v>0.2397</v>
      </c>
      <c r="V57" s="100">
        <f t="shared" si="6"/>
        <v>5.1000000000000038E-2</v>
      </c>
      <c r="W57" s="7">
        <v>0.12099999999999994</v>
      </c>
      <c r="X57" s="105">
        <v>0.20369999999999999</v>
      </c>
      <c r="Y57" s="79"/>
    </row>
    <row r="58" spans="1:25" x14ac:dyDescent="0.25">
      <c r="A58" s="14"/>
      <c r="B58" s="15"/>
      <c r="C58" s="15"/>
      <c r="G58" s="13"/>
      <c r="H58" s="16"/>
      <c r="I58" s="12"/>
      <c r="L58" s="100">
        <f t="shared" si="4"/>
        <v>5.2000000000000039E-2</v>
      </c>
      <c r="M58" s="148" t="s">
        <v>4</v>
      </c>
      <c r="N58" s="7">
        <v>0.11599999999999996</v>
      </c>
      <c r="O58" s="19">
        <v>0.20419999999999999</v>
      </c>
      <c r="P58" s="79"/>
      <c r="Q58" s="8">
        <f t="shared" si="5"/>
        <v>5.2000000000000039E-2</v>
      </c>
      <c r="R58" s="148" t="s">
        <v>4</v>
      </c>
      <c r="S58" s="7">
        <v>0.11599999999999996</v>
      </c>
      <c r="T58" s="149">
        <v>0.24360000000000001</v>
      </c>
      <c r="V58" s="100">
        <f t="shared" si="6"/>
        <v>5.2000000000000039E-2</v>
      </c>
      <c r="W58" s="7">
        <v>0.11999999999999994</v>
      </c>
      <c r="X58" s="105">
        <v>0.20760000000000001</v>
      </c>
      <c r="Y58" s="79"/>
    </row>
    <row r="59" spans="1:25" x14ac:dyDescent="0.25">
      <c r="A59" s="14"/>
      <c r="B59" s="15"/>
      <c r="C59" s="15"/>
      <c r="G59" s="13"/>
      <c r="H59" s="16"/>
      <c r="I59" s="12"/>
      <c r="L59" s="100">
        <f t="shared" si="4"/>
        <v>5.300000000000004E-2</v>
      </c>
      <c r="M59" s="148" t="s">
        <v>4</v>
      </c>
      <c r="N59" s="7">
        <v>0.11499999999999996</v>
      </c>
      <c r="O59" s="19">
        <v>0.20810000000000001</v>
      </c>
      <c r="P59" s="79"/>
      <c r="Q59" s="8">
        <f t="shared" si="5"/>
        <v>5.300000000000004E-2</v>
      </c>
      <c r="R59" s="148" t="s">
        <v>4</v>
      </c>
      <c r="S59" s="7">
        <v>0.11499999999999996</v>
      </c>
      <c r="T59" s="149">
        <v>0.24740000000000001</v>
      </c>
      <c r="V59" s="100">
        <f t="shared" si="6"/>
        <v>5.300000000000004E-2</v>
      </c>
      <c r="W59" s="7">
        <v>0.11899999999999994</v>
      </c>
      <c r="X59" s="7">
        <v>0.21149999999999999</v>
      </c>
    </row>
    <row r="60" spans="1:25" x14ac:dyDescent="0.25">
      <c r="A60" s="14"/>
      <c r="B60" s="15"/>
      <c r="C60" s="15"/>
      <c r="G60" s="14"/>
      <c r="H60" s="15"/>
      <c r="L60" s="100">
        <f t="shared" si="4"/>
        <v>5.4000000000000041E-2</v>
      </c>
      <c r="M60" s="148" t="s">
        <v>4</v>
      </c>
      <c r="N60" s="7">
        <v>0.11399999999999996</v>
      </c>
      <c r="O60" s="19">
        <v>0.21199999999999999</v>
      </c>
      <c r="P60" s="79"/>
      <c r="Q60" s="8">
        <f t="shared" si="5"/>
        <v>5.4000000000000041E-2</v>
      </c>
      <c r="R60" s="148" t="s">
        <v>4</v>
      </c>
      <c r="S60" s="7">
        <v>0.11399999999999996</v>
      </c>
      <c r="T60" s="149">
        <v>0.25130000000000002</v>
      </c>
      <c r="V60" s="100">
        <f t="shared" si="6"/>
        <v>5.4000000000000041E-2</v>
      </c>
      <c r="W60" s="7">
        <v>0.11799999999999994</v>
      </c>
      <c r="X60" s="7">
        <v>0.21540000000000001</v>
      </c>
    </row>
    <row r="61" spans="1:25" x14ac:dyDescent="0.25">
      <c r="A61" s="14"/>
      <c r="B61" s="15"/>
      <c r="C61" s="15"/>
      <c r="G61" s="14"/>
      <c r="H61" s="15"/>
      <c r="L61" s="100">
        <f t="shared" si="4"/>
        <v>5.5000000000000042E-2</v>
      </c>
      <c r="M61" s="148" t="s">
        <v>4</v>
      </c>
      <c r="N61" s="7">
        <v>0.11299999999999996</v>
      </c>
      <c r="O61" s="19">
        <v>0.21579999999999999</v>
      </c>
      <c r="P61" s="79"/>
      <c r="Q61" s="8">
        <f t="shared" si="5"/>
        <v>5.5000000000000042E-2</v>
      </c>
      <c r="R61" s="148" t="s">
        <v>4</v>
      </c>
      <c r="S61" s="7">
        <v>0.11299999999999996</v>
      </c>
      <c r="T61" s="149">
        <v>0.25519999999999998</v>
      </c>
      <c r="V61" s="100">
        <f t="shared" si="6"/>
        <v>5.5000000000000042E-2</v>
      </c>
      <c r="W61" s="7">
        <v>0.11699999999999994</v>
      </c>
      <c r="X61" s="7">
        <v>0.21929999999999999</v>
      </c>
    </row>
    <row r="62" spans="1:25" x14ac:dyDescent="0.25">
      <c r="A62" s="14"/>
      <c r="B62" s="15"/>
      <c r="C62" s="15"/>
      <c r="G62" s="14"/>
      <c r="H62" s="15"/>
      <c r="L62" s="100">
        <f t="shared" si="4"/>
        <v>5.6000000000000043E-2</v>
      </c>
      <c r="M62" s="148" t="s">
        <v>4</v>
      </c>
      <c r="N62" s="7">
        <v>0.11199999999999996</v>
      </c>
      <c r="O62" s="19">
        <v>0.21970000000000001</v>
      </c>
      <c r="Q62" s="8">
        <f t="shared" si="5"/>
        <v>5.6000000000000043E-2</v>
      </c>
      <c r="R62" s="148" t="s">
        <v>4</v>
      </c>
      <c r="S62" s="7">
        <v>0.11199999999999996</v>
      </c>
      <c r="T62" s="149">
        <v>0.25900000000000001</v>
      </c>
      <c r="V62" s="100">
        <f t="shared" si="6"/>
        <v>5.6000000000000043E-2</v>
      </c>
      <c r="W62" s="7">
        <v>0.11599999999999994</v>
      </c>
      <c r="X62" s="7">
        <v>0.22320000000000001</v>
      </c>
    </row>
    <row r="63" spans="1:25" x14ac:dyDescent="0.25">
      <c r="A63" s="14"/>
      <c r="B63" s="15"/>
      <c r="C63" s="15"/>
      <c r="G63" s="14"/>
      <c r="H63" s="15"/>
      <c r="L63" s="100">
        <f t="shared" si="4"/>
        <v>5.7000000000000044E-2</v>
      </c>
      <c r="M63" s="148" t="s">
        <v>4</v>
      </c>
      <c r="N63" s="7">
        <v>0.11099999999999996</v>
      </c>
      <c r="O63" s="19">
        <v>0.2235</v>
      </c>
      <c r="Q63" s="8">
        <f t="shared" si="5"/>
        <v>5.7000000000000044E-2</v>
      </c>
      <c r="R63" s="148" t="s">
        <v>4</v>
      </c>
      <c r="S63" s="7">
        <v>0.11099999999999996</v>
      </c>
      <c r="T63" s="149">
        <v>0.26290000000000002</v>
      </c>
      <c r="V63" s="100">
        <f t="shared" si="6"/>
        <v>5.7000000000000044E-2</v>
      </c>
      <c r="W63" s="7">
        <v>0.11499999999999994</v>
      </c>
      <c r="X63" s="7">
        <v>0.2271</v>
      </c>
    </row>
    <row r="64" spans="1:25" x14ac:dyDescent="0.25">
      <c r="A64" s="14"/>
      <c r="B64" s="15"/>
      <c r="C64" s="15"/>
      <c r="G64" s="14"/>
      <c r="H64" s="15"/>
      <c r="L64" s="100">
        <f t="shared" si="4"/>
        <v>5.8000000000000045E-2</v>
      </c>
      <c r="M64" s="148" t="s">
        <v>4</v>
      </c>
      <c r="N64" s="7">
        <v>0.10999999999999996</v>
      </c>
      <c r="O64" s="19">
        <v>0.2273</v>
      </c>
      <c r="Q64" s="8">
        <f t="shared" si="5"/>
        <v>5.8000000000000045E-2</v>
      </c>
      <c r="R64" s="148" t="s">
        <v>4</v>
      </c>
      <c r="S64" s="7">
        <v>0.10999999999999996</v>
      </c>
      <c r="T64" s="149">
        <v>0.26669999999999999</v>
      </c>
      <c r="V64" s="100">
        <f t="shared" si="6"/>
        <v>5.8000000000000045E-2</v>
      </c>
      <c r="W64" s="150">
        <v>0.11399999999999993</v>
      </c>
      <c r="X64" s="7">
        <v>0.23089999999999999</v>
      </c>
    </row>
    <row r="65" spans="1:24" x14ac:dyDescent="0.25">
      <c r="A65" s="14"/>
      <c r="B65" s="15"/>
      <c r="C65" s="15"/>
      <c r="G65" s="14"/>
      <c r="H65" s="15"/>
      <c r="L65" s="100">
        <f t="shared" si="4"/>
        <v>5.9000000000000045E-2</v>
      </c>
      <c r="M65" s="148" t="s">
        <v>4</v>
      </c>
      <c r="N65" s="7">
        <v>0.10899999999999996</v>
      </c>
      <c r="O65" s="19">
        <v>0.23119999999999999</v>
      </c>
      <c r="Q65" s="8">
        <f t="shared" si="5"/>
        <v>5.9000000000000045E-2</v>
      </c>
      <c r="R65" s="148" t="s">
        <v>4</v>
      </c>
      <c r="S65" s="7">
        <v>0.10899999999999996</v>
      </c>
      <c r="T65" s="149">
        <v>0.27050000000000002</v>
      </c>
      <c r="V65" s="100">
        <f t="shared" si="6"/>
        <v>5.9000000000000045E-2</v>
      </c>
      <c r="W65" s="150">
        <v>0.11299999999999993</v>
      </c>
      <c r="X65" s="7">
        <v>0.23480000000000001</v>
      </c>
    </row>
    <row r="66" spans="1:24" x14ac:dyDescent="0.25">
      <c r="A66" s="14"/>
      <c r="B66" s="15"/>
      <c r="C66" s="15"/>
      <c r="G66" s="14"/>
      <c r="H66" s="15"/>
      <c r="L66" s="100">
        <f t="shared" si="4"/>
        <v>6.0000000000000046E-2</v>
      </c>
      <c r="M66" s="148" t="s">
        <v>4</v>
      </c>
      <c r="N66" s="7">
        <v>0.10799999999999996</v>
      </c>
      <c r="O66" s="19">
        <v>0.23499999999999999</v>
      </c>
      <c r="Q66" s="8">
        <f t="shared" si="5"/>
        <v>6.0000000000000046E-2</v>
      </c>
      <c r="R66" s="148" t="s">
        <v>4</v>
      </c>
      <c r="S66" s="7">
        <v>0.10799999999999996</v>
      </c>
      <c r="T66" s="149">
        <v>0.27439999999999998</v>
      </c>
      <c r="V66" s="100">
        <f t="shared" si="6"/>
        <v>6.0000000000000046E-2</v>
      </c>
      <c r="W66" s="150">
        <v>0.11199999999999993</v>
      </c>
      <c r="X66" s="7">
        <v>0.2387</v>
      </c>
    </row>
    <row r="67" spans="1:24" x14ac:dyDescent="0.25">
      <c r="A67" s="14"/>
      <c r="B67" s="15"/>
      <c r="C67" s="15"/>
      <c r="G67" s="14"/>
      <c r="H67" s="15"/>
      <c r="L67" s="100">
        <f t="shared" si="4"/>
        <v>6.1000000000000047E-2</v>
      </c>
      <c r="M67" s="148" t="s">
        <v>4</v>
      </c>
      <c r="N67" s="7">
        <v>0.10699999999999996</v>
      </c>
      <c r="O67" s="19">
        <v>0.23880000000000001</v>
      </c>
      <c r="Q67" s="8">
        <f t="shared" si="5"/>
        <v>6.1000000000000047E-2</v>
      </c>
      <c r="R67" s="148" t="s">
        <v>4</v>
      </c>
      <c r="S67" s="7">
        <v>0.10699999999999996</v>
      </c>
      <c r="T67" s="149">
        <v>0.2782</v>
      </c>
      <c r="V67" s="100">
        <f t="shared" si="6"/>
        <v>6.1000000000000047E-2</v>
      </c>
      <c r="W67" s="150">
        <v>0.11099999999999993</v>
      </c>
      <c r="X67" s="7">
        <v>0.24249999999999999</v>
      </c>
    </row>
    <row r="68" spans="1:24" x14ac:dyDescent="0.25">
      <c r="A68" s="14"/>
      <c r="B68" s="15"/>
      <c r="C68" s="15"/>
      <c r="G68" s="14"/>
      <c r="H68" s="15"/>
      <c r="L68" s="100">
        <f t="shared" si="4"/>
        <v>6.2000000000000048E-2</v>
      </c>
      <c r="M68" s="148" t="s">
        <v>4</v>
      </c>
      <c r="N68" s="7">
        <v>0.10599999999999996</v>
      </c>
      <c r="O68" s="19">
        <v>0.24260000000000001</v>
      </c>
      <c r="Q68" s="8">
        <f t="shared" si="5"/>
        <v>6.2000000000000048E-2</v>
      </c>
      <c r="R68" s="148" t="s">
        <v>4</v>
      </c>
      <c r="S68" s="7">
        <v>0.10599999999999996</v>
      </c>
      <c r="T68" s="149">
        <v>0.28199999999999997</v>
      </c>
      <c r="V68" s="100">
        <f t="shared" si="6"/>
        <v>6.2000000000000048E-2</v>
      </c>
      <c r="W68" s="150">
        <v>0.10999999999999993</v>
      </c>
      <c r="X68" s="7">
        <v>0.24629999999999999</v>
      </c>
    </row>
    <row r="69" spans="1:24" x14ac:dyDescent="0.25">
      <c r="A69" s="14"/>
      <c r="B69" s="15"/>
      <c r="C69" s="15"/>
      <c r="G69" s="14"/>
      <c r="H69" s="15"/>
      <c r="L69" s="100">
        <f t="shared" si="4"/>
        <v>6.3000000000000042E-2</v>
      </c>
      <c r="M69" s="148" t="s">
        <v>4</v>
      </c>
      <c r="N69" s="7">
        <v>0.10499999999999997</v>
      </c>
      <c r="O69" s="19">
        <v>0.24640000000000001</v>
      </c>
      <c r="Q69" s="8">
        <f t="shared" si="5"/>
        <v>6.3000000000000042E-2</v>
      </c>
      <c r="R69" s="148" t="s">
        <v>4</v>
      </c>
      <c r="S69" s="7">
        <v>0.10499999999999997</v>
      </c>
      <c r="T69" s="149">
        <v>0.2858</v>
      </c>
      <c r="V69" s="100">
        <f t="shared" si="6"/>
        <v>6.3000000000000042E-2</v>
      </c>
      <c r="W69" s="150">
        <v>0.10899999999999994</v>
      </c>
      <c r="X69" s="7">
        <v>0.25019999999999998</v>
      </c>
    </row>
    <row r="70" spans="1:24" x14ac:dyDescent="0.25">
      <c r="A70" s="14"/>
      <c r="B70" s="15"/>
      <c r="C70" s="15"/>
      <c r="G70" s="14"/>
      <c r="H70" s="15"/>
      <c r="L70" s="100">
        <f t="shared" si="4"/>
        <v>6.4000000000000043E-2</v>
      </c>
      <c r="M70" s="148" t="s">
        <v>4</v>
      </c>
      <c r="N70" s="7">
        <v>0.10399999999999997</v>
      </c>
      <c r="O70" s="19">
        <v>0.25009999999999999</v>
      </c>
      <c r="Q70" s="8">
        <f t="shared" si="5"/>
        <v>6.4000000000000043E-2</v>
      </c>
      <c r="R70" s="148" t="s">
        <v>4</v>
      </c>
      <c r="S70" s="7">
        <v>0.10399999999999997</v>
      </c>
      <c r="T70" s="149">
        <v>0.28960000000000002</v>
      </c>
      <c r="V70" s="100">
        <f t="shared" si="6"/>
        <v>6.4000000000000043E-2</v>
      </c>
      <c r="W70" s="150">
        <v>0.10799999999999994</v>
      </c>
      <c r="X70" s="7">
        <v>0.254</v>
      </c>
    </row>
    <row r="71" spans="1:24" x14ac:dyDescent="0.25">
      <c r="A71" s="14"/>
      <c r="B71" s="15"/>
      <c r="C71" s="15"/>
      <c r="G71" s="14"/>
      <c r="H71" s="15"/>
      <c r="L71" s="100">
        <f t="shared" si="4"/>
        <v>6.5000000000000044E-2</v>
      </c>
      <c r="M71" s="148" t="s">
        <v>4</v>
      </c>
      <c r="N71" s="7">
        <v>0.10299999999999997</v>
      </c>
      <c r="O71" s="19">
        <v>0.25390000000000001</v>
      </c>
      <c r="Q71" s="8">
        <f t="shared" si="5"/>
        <v>6.5000000000000044E-2</v>
      </c>
      <c r="R71" s="148" t="s">
        <v>4</v>
      </c>
      <c r="S71" s="7">
        <v>0.10299999999999997</v>
      </c>
      <c r="T71" s="149">
        <v>0.29330000000000001</v>
      </c>
      <c r="V71" s="100">
        <f t="shared" si="6"/>
        <v>6.5000000000000044E-2</v>
      </c>
      <c r="W71" s="150">
        <v>0.10699999999999994</v>
      </c>
      <c r="X71" s="7">
        <v>0.25779999999999997</v>
      </c>
    </row>
    <row r="72" spans="1:24" x14ac:dyDescent="0.25">
      <c r="A72" s="14"/>
      <c r="B72" s="15"/>
      <c r="C72" s="15"/>
      <c r="G72" s="14"/>
      <c r="H72" s="15"/>
      <c r="L72" s="100">
        <f t="shared" si="4"/>
        <v>6.6000000000000045E-2</v>
      </c>
      <c r="M72" s="148" t="s">
        <v>4</v>
      </c>
      <c r="N72" s="7">
        <v>0.10199999999999997</v>
      </c>
      <c r="O72" s="19">
        <v>0.25769999999999998</v>
      </c>
      <c r="Q72" s="8">
        <f t="shared" si="5"/>
        <v>6.6000000000000045E-2</v>
      </c>
      <c r="R72" s="148" t="s">
        <v>4</v>
      </c>
      <c r="S72" s="7">
        <v>0.10199999999999997</v>
      </c>
      <c r="T72" s="149">
        <v>0.29709999999999998</v>
      </c>
      <c r="V72" s="100">
        <f t="shared" si="6"/>
        <v>6.6000000000000045E-2</v>
      </c>
      <c r="W72" s="150">
        <v>0.10599999999999994</v>
      </c>
      <c r="X72" s="7">
        <v>0.2616</v>
      </c>
    </row>
    <row r="73" spans="1:24" x14ac:dyDescent="0.25">
      <c r="A73" s="14"/>
      <c r="B73" s="15"/>
      <c r="C73" s="15"/>
      <c r="G73" s="14"/>
      <c r="H73" s="15"/>
      <c r="L73" s="100">
        <f t="shared" ref="L73:L74" si="8">L72+0.1%</f>
        <v>6.7000000000000046E-2</v>
      </c>
      <c r="M73" s="148" t="s">
        <v>4</v>
      </c>
      <c r="N73" s="7">
        <v>0.10099999999999996</v>
      </c>
      <c r="O73" s="19">
        <v>0.26140000000000002</v>
      </c>
      <c r="Q73" s="8">
        <f t="shared" ref="Q73:Q74" si="9">Q72+0.1%</f>
        <v>6.7000000000000046E-2</v>
      </c>
      <c r="R73" s="148" t="s">
        <v>4</v>
      </c>
      <c r="S73" s="7">
        <v>0.10099999999999996</v>
      </c>
      <c r="T73" s="149">
        <v>0.3009</v>
      </c>
      <c r="V73" s="100">
        <f t="shared" ref="V73:V78" si="10">V72+0.1%</f>
        <v>6.7000000000000046E-2</v>
      </c>
      <c r="W73" s="150">
        <v>0.10499999999999994</v>
      </c>
      <c r="X73" s="7">
        <v>0.26540000000000002</v>
      </c>
    </row>
    <row r="74" spans="1:24" x14ac:dyDescent="0.25">
      <c r="A74" s="14"/>
      <c r="B74" s="15"/>
      <c r="C74" s="15"/>
      <c r="G74" s="14"/>
      <c r="H74" s="15"/>
      <c r="L74" s="100">
        <f t="shared" si="8"/>
        <v>6.8000000000000047E-2</v>
      </c>
      <c r="M74" s="148" t="s">
        <v>4</v>
      </c>
      <c r="N74" s="7">
        <v>9.9999999999999964E-2</v>
      </c>
      <c r="O74" s="19">
        <v>0.26519999999999999</v>
      </c>
      <c r="Q74" s="8">
        <f t="shared" si="9"/>
        <v>6.8000000000000047E-2</v>
      </c>
      <c r="R74" s="148" t="s">
        <v>4</v>
      </c>
      <c r="S74" s="7">
        <v>9.9999999999999964E-2</v>
      </c>
      <c r="T74" s="149">
        <v>0.30459999999999998</v>
      </c>
      <c r="V74" s="100">
        <f t="shared" si="10"/>
        <v>6.8000000000000047E-2</v>
      </c>
      <c r="W74" s="150">
        <v>0.10399999999999994</v>
      </c>
      <c r="X74" s="7">
        <v>0.26919999999999999</v>
      </c>
    </row>
    <row r="75" spans="1:24" x14ac:dyDescent="0.25">
      <c r="A75" s="14"/>
      <c r="B75" s="15"/>
      <c r="C75" s="15"/>
      <c r="G75" s="14"/>
      <c r="H75" s="15"/>
      <c r="L75" s="100"/>
      <c r="M75" s="148"/>
      <c r="N75" s="7"/>
      <c r="O75" s="19"/>
      <c r="Q75" s="8"/>
      <c r="R75" s="148"/>
      <c r="S75" s="7"/>
      <c r="T75" s="149"/>
      <c r="V75" s="100">
        <f t="shared" si="10"/>
        <v>6.9000000000000047E-2</v>
      </c>
      <c r="W75" s="150">
        <v>0.10299999999999994</v>
      </c>
      <c r="X75" s="7">
        <v>0.27300000000000002</v>
      </c>
    </row>
    <row r="76" spans="1:24" x14ac:dyDescent="0.25">
      <c r="A76" s="14"/>
      <c r="B76" s="15"/>
      <c r="C76" s="15"/>
      <c r="G76" s="14"/>
      <c r="H76" s="15"/>
      <c r="L76" s="100"/>
      <c r="M76" s="148"/>
      <c r="N76" s="7"/>
      <c r="O76" s="19"/>
      <c r="Q76" s="8"/>
      <c r="R76" s="148"/>
      <c r="S76" s="7"/>
      <c r="T76" s="149"/>
      <c r="V76" s="100">
        <f t="shared" si="10"/>
        <v>7.0000000000000048E-2</v>
      </c>
      <c r="W76" s="150">
        <v>0.10199999999999994</v>
      </c>
      <c r="X76" s="7">
        <v>0.2767</v>
      </c>
    </row>
    <row r="77" spans="1:24" x14ac:dyDescent="0.25">
      <c r="A77" s="14"/>
      <c r="B77" s="15"/>
      <c r="C77" s="15"/>
      <c r="G77" s="14"/>
      <c r="H77" s="15"/>
      <c r="L77" s="100"/>
      <c r="M77" s="148"/>
      <c r="N77" s="7"/>
      <c r="O77" s="19"/>
      <c r="Q77" s="8"/>
      <c r="R77" s="148"/>
      <c r="S77" s="7"/>
      <c r="T77" s="149"/>
      <c r="V77" s="100">
        <f t="shared" si="10"/>
        <v>7.1000000000000049E-2</v>
      </c>
      <c r="W77" s="150">
        <v>0.10099999999999994</v>
      </c>
      <c r="X77" s="7">
        <v>0.28050000000000003</v>
      </c>
    </row>
    <row r="78" spans="1:24" x14ac:dyDescent="0.25">
      <c r="A78" s="14"/>
      <c r="B78" s="15"/>
      <c r="C78" s="15"/>
      <c r="G78" s="14"/>
      <c r="H78" s="15"/>
      <c r="L78" s="100"/>
      <c r="M78" s="148"/>
      <c r="N78" s="7"/>
      <c r="O78" s="19"/>
      <c r="Q78" s="8"/>
      <c r="R78" s="148"/>
      <c r="S78" s="7"/>
      <c r="T78" s="149"/>
      <c r="V78" s="100">
        <f t="shared" si="10"/>
        <v>7.200000000000005E-2</v>
      </c>
      <c r="W78" s="150">
        <v>9.9999999999999936E-2</v>
      </c>
      <c r="X78" s="7">
        <v>0.2843</v>
      </c>
    </row>
    <row r="79" spans="1:24" x14ac:dyDescent="0.25">
      <c r="A79" s="14"/>
      <c r="B79" s="15"/>
      <c r="C79" s="15"/>
      <c r="G79" s="14"/>
      <c r="H79" s="15"/>
      <c r="L79" s="100"/>
      <c r="M79" s="148"/>
      <c r="N79" s="7"/>
      <c r="O79" s="19"/>
      <c r="Q79" s="8"/>
      <c r="R79" s="148"/>
      <c r="S79" s="7"/>
      <c r="T79" s="149"/>
      <c r="V79" s="100"/>
      <c r="W79" s="150"/>
      <c r="X79" s="7"/>
    </row>
    <row r="80" spans="1:24" x14ac:dyDescent="0.25">
      <c r="A80" s="14"/>
      <c r="B80" s="15"/>
      <c r="C80" s="15"/>
      <c r="G80" s="14"/>
      <c r="H80" s="15"/>
      <c r="L80" s="83"/>
      <c r="M80" s="16"/>
      <c r="N80" s="84"/>
      <c r="O80" s="85"/>
      <c r="Q80" s="83"/>
      <c r="R80" s="16"/>
      <c r="S80" s="84"/>
      <c r="T80" s="81"/>
      <c r="V80" s="100"/>
      <c r="W80" s="150"/>
      <c r="X80" s="7"/>
    </row>
    <row r="81" spans="1:24" x14ac:dyDescent="0.25">
      <c r="A81" s="14"/>
      <c r="B81" s="15"/>
      <c r="C81" s="15"/>
      <c r="G81" s="14"/>
      <c r="H81" s="15"/>
      <c r="L81" s="83"/>
      <c r="M81" s="16"/>
      <c r="N81" s="84"/>
      <c r="O81" s="85"/>
      <c r="Q81" s="83"/>
      <c r="R81" s="16"/>
      <c r="S81" s="84"/>
      <c r="T81" s="81"/>
      <c r="V81" s="100"/>
      <c r="W81" s="150"/>
      <c r="X81" s="7"/>
    </row>
    <row r="82" spans="1:24" x14ac:dyDescent="0.25">
      <c r="A82" s="14"/>
      <c r="B82" s="15"/>
      <c r="C82" s="15"/>
      <c r="G82" s="14"/>
      <c r="H82" s="15"/>
      <c r="L82" s="83"/>
      <c r="M82" s="16"/>
      <c r="N82" s="84"/>
      <c r="O82" s="85"/>
      <c r="Q82" s="83"/>
      <c r="R82" s="16"/>
      <c r="S82" s="84"/>
      <c r="T82" s="81"/>
      <c r="V82" s="100"/>
      <c r="W82" s="150"/>
      <c r="X82" s="7"/>
    </row>
    <row r="83" spans="1:24" x14ac:dyDescent="0.25">
      <c r="A83" s="14"/>
      <c r="B83" s="15"/>
      <c r="C83" s="15"/>
      <c r="G83" s="14"/>
      <c r="H83" s="15"/>
      <c r="L83" s="83"/>
      <c r="M83" s="16"/>
      <c r="N83" s="84"/>
      <c r="O83" s="85"/>
      <c r="Q83" s="83"/>
      <c r="R83" s="16"/>
      <c r="S83" s="84"/>
      <c r="T83" s="81"/>
      <c r="V83" s="100"/>
      <c r="W83" s="150"/>
      <c r="X83" s="7"/>
    </row>
    <row r="84" spans="1:24" x14ac:dyDescent="0.25">
      <c r="A84" s="14"/>
      <c r="B84" s="15"/>
      <c r="C84" s="15"/>
      <c r="G84" s="14"/>
      <c r="H84" s="15"/>
      <c r="L84" s="83"/>
      <c r="M84" s="16"/>
      <c r="N84" s="84"/>
      <c r="O84" s="85"/>
      <c r="Q84" s="83"/>
      <c r="R84" s="16"/>
      <c r="S84" s="84"/>
      <c r="T84" s="81"/>
      <c r="V84" s="83"/>
      <c r="W84" s="87"/>
      <c r="X84" s="11"/>
    </row>
    <row r="85" spans="1:24" x14ac:dyDescent="0.25">
      <c r="A85" s="14"/>
      <c r="B85" s="15"/>
      <c r="C85" s="15"/>
      <c r="G85" s="14"/>
      <c r="H85" s="15"/>
      <c r="L85" s="83"/>
      <c r="M85" s="16"/>
      <c r="N85" s="84"/>
      <c r="O85" s="85"/>
      <c r="Q85" s="83"/>
      <c r="R85" s="16"/>
      <c r="S85" s="84"/>
      <c r="T85" s="81"/>
      <c r="V85" s="83"/>
      <c r="W85" s="87"/>
      <c r="X85" s="11"/>
    </row>
    <row r="86" spans="1:24" x14ac:dyDescent="0.25">
      <c r="A86" s="14"/>
      <c r="B86" s="15"/>
      <c r="C86" s="15"/>
      <c r="G86" s="14"/>
      <c r="H86" s="15"/>
      <c r="L86" s="83"/>
      <c r="M86" s="16"/>
      <c r="N86" s="84"/>
      <c r="O86" s="85"/>
      <c r="Q86" s="83"/>
      <c r="R86" s="16"/>
      <c r="S86" s="84"/>
      <c r="T86" s="81"/>
      <c r="V86" s="83"/>
      <c r="W86" s="87"/>
      <c r="X86" s="11"/>
    </row>
    <row r="87" spans="1:24" x14ac:dyDescent="0.25">
      <c r="A87" s="14"/>
      <c r="B87" s="15"/>
      <c r="C87" s="15"/>
      <c r="G87" s="14"/>
      <c r="H87" s="15"/>
      <c r="L87" s="83"/>
      <c r="M87" s="16"/>
      <c r="N87" s="84"/>
      <c r="O87" s="85"/>
      <c r="Q87" s="83"/>
      <c r="R87" s="16"/>
      <c r="S87" s="84"/>
      <c r="T87" s="81"/>
      <c r="V87" s="83"/>
      <c r="W87" s="87"/>
      <c r="X87" s="11"/>
    </row>
    <row r="88" spans="1:24" x14ac:dyDescent="0.25">
      <c r="A88" s="14"/>
      <c r="B88" s="15"/>
      <c r="C88" s="15"/>
      <c r="G88" s="14"/>
      <c r="H88" s="15"/>
      <c r="L88" s="83"/>
      <c r="M88" s="16"/>
      <c r="N88" s="84"/>
      <c r="O88" s="85"/>
      <c r="Q88" s="83"/>
      <c r="R88" s="16"/>
      <c r="S88" s="84"/>
      <c r="T88" s="81"/>
      <c r="V88" s="83"/>
      <c r="W88" s="87"/>
      <c r="X88" s="11"/>
    </row>
    <row r="89" spans="1:24" x14ac:dyDescent="0.25">
      <c r="A89" s="14"/>
      <c r="B89" s="15"/>
      <c r="C89" s="15"/>
      <c r="G89" s="14"/>
      <c r="H89" s="15"/>
      <c r="L89" s="83"/>
      <c r="M89" s="16"/>
      <c r="N89" s="84"/>
      <c r="O89" s="85"/>
      <c r="Q89" s="83"/>
      <c r="R89" s="16"/>
      <c r="S89" s="84"/>
      <c r="T89" s="81"/>
      <c r="V89" s="83"/>
      <c r="W89" s="87"/>
      <c r="X89" s="11"/>
    </row>
    <row r="90" spans="1:24" x14ac:dyDescent="0.25">
      <c r="A90" s="14"/>
      <c r="B90" s="15"/>
      <c r="C90" s="15"/>
      <c r="G90" s="14"/>
      <c r="H90" s="15"/>
      <c r="L90" s="83"/>
      <c r="M90" s="16"/>
      <c r="N90" s="84"/>
      <c r="O90" s="85"/>
      <c r="Q90" s="83"/>
      <c r="R90" s="16"/>
      <c r="S90" s="84"/>
      <c r="T90" s="81"/>
      <c r="V90" s="83"/>
      <c r="W90" s="87"/>
      <c r="X90" s="11"/>
    </row>
    <row r="91" spans="1:24" x14ac:dyDescent="0.25">
      <c r="A91" s="14"/>
      <c r="B91" s="15"/>
      <c r="C91" s="15"/>
      <c r="G91" s="14"/>
      <c r="H91" s="15"/>
      <c r="L91" s="83"/>
      <c r="M91" s="16"/>
      <c r="N91" s="84"/>
      <c r="O91" s="85"/>
      <c r="Q91" s="83"/>
      <c r="R91" s="16"/>
      <c r="S91" s="84"/>
      <c r="T91" s="81"/>
      <c r="V91" s="83"/>
      <c r="W91" s="87"/>
      <c r="X91" s="11"/>
    </row>
    <row r="92" spans="1:24" x14ac:dyDescent="0.25">
      <c r="A92" s="14"/>
      <c r="B92" s="15"/>
      <c r="C92" s="15"/>
      <c r="G92" s="14"/>
      <c r="H92" s="15"/>
      <c r="L92" s="83"/>
      <c r="M92" s="16"/>
      <c r="N92" s="84"/>
      <c r="O92" s="85"/>
      <c r="Q92" s="83"/>
      <c r="R92" s="16"/>
      <c r="S92" s="84"/>
      <c r="T92" s="81"/>
      <c r="V92" s="83"/>
      <c r="W92" s="87"/>
      <c r="X92" s="11"/>
    </row>
    <row r="93" spans="1:24" x14ac:dyDescent="0.25">
      <c r="A93" s="14"/>
      <c r="B93" s="15"/>
      <c r="C93" s="15"/>
      <c r="G93" s="14"/>
      <c r="H93" s="15"/>
      <c r="L93" s="83"/>
      <c r="M93" s="16"/>
      <c r="N93" s="84"/>
      <c r="O93" s="85"/>
      <c r="Q93" s="83"/>
      <c r="R93" s="16"/>
      <c r="S93" s="84"/>
      <c r="T93" s="81"/>
      <c r="V93" s="83"/>
      <c r="W93" s="87"/>
      <c r="X93" s="11"/>
    </row>
    <row r="94" spans="1:24" x14ac:dyDescent="0.25">
      <c r="A94" s="14"/>
      <c r="B94" s="15"/>
      <c r="C94" s="15"/>
      <c r="G94" s="14"/>
      <c r="H94" s="15"/>
      <c r="L94" s="83"/>
      <c r="M94" s="16"/>
      <c r="N94" s="84"/>
      <c r="O94" s="85"/>
      <c r="Q94" s="83"/>
      <c r="R94" s="16"/>
      <c r="S94" s="84"/>
      <c r="T94" s="81"/>
      <c r="V94" s="83"/>
      <c r="W94" s="87"/>
      <c r="X94" s="11"/>
    </row>
    <row r="95" spans="1:24" x14ac:dyDescent="0.25">
      <c r="A95" s="14"/>
      <c r="B95" s="15"/>
      <c r="C95" s="15"/>
      <c r="G95" s="14"/>
      <c r="H95" s="15"/>
      <c r="L95" s="83"/>
      <c r="M95" s="16"/>
      <c r="N95" s="84"/>
      <c r="O95" s="85"/>
      <c r="Q95" s="83"/>
      <c r="R95" s="16"/>
      <c r="S95" s="84"/>
      <c r="T95" s="81"/>
      <c r="V95" s="83"/>
      <c r="W95" s="87"/>
      <c r="X95" s="11"/>
    </row>
    <row r="96" spans="1:24" x14ac:dyDescent="0.25">
      <c r="A96" s="14"/>
      <c r="B96" s="15"/>
      <c r="C96" s="15"/>
      <c r="G96" s="14"/>
      <c r="H96" s="15"/>
      <c r="L96" s="83"/>
      <c r="M96" s="16"/>
      <c r="N96" s="84"/>
      <c r="O96" s="85"/>
      <c r="Q96" s="83"/>
      <c r="R96" s="16"/>
      <c r="S96" s="84"/>
      <c r="T96" s="81"/>
      <c r="V96" s="83"/>
      <c r="W96" s="87"/>
      <c r="X96" s="11"/>
    </row>
    <row r="97" spans="1:24" x14ac:dyDescent="0.25">
      <c r="A97" s="14"/>
      <c r="B97" s="15"/>
      <c r="C97" s="15"/>
      <c r="G97" s="14"/>
      <c r="H97" s="15"/>
      <c r="L97" s="83"/>
      <c r="M97" s="16"/>
      <c r="N97" s="84"/>
      <c r="O97" s="85"/>
      <c r="Q97" s="83"/>
      <c r="R97" s="16"/>
      <c r="S97" s="84"/>
      <c r="T97" s="81"/>
      <c r="V97" s="83"/>
      <c r="W97" s="87"/>
      <c r="X97" s="11"/>
    </row>
    <row r="98" spans="1:24" x14ac:dyDescent="0.25">
      <c r="A98" s="14"/>
      <c r="B98" s="15"/>
      <c r="C98" s="15"/>
      <c r="G98" s="14"/>
      <c r="H98" s="15"/>
      <c r="L98" s="83"/>
      <c r="M98" s="16"/>
      <c r="N98" s="84"/>
      <c r="O98" s="85"/>
      <c r="Q98" s="83"/>
      <c r="R98" s="16"/>
      <c r="S98" s="84"/>
      <c r="T98" s="81"/>
      <c r="V98" s="83"/>
      <c r="W98" s="87"/>
      <c r="X98" s="11"/>
    </row>
    <row r="99" spans="1:24" x14ac:dyDescent="0.25">
      <c r="A99" s="14"/>
      <c r="B99" s="15"/>
      <c r="C99" s="15"/>
      <c r="G99" s="14"/>
      <c r="H99" s="15"/>
      <c r="L99" s="83"/>
      <c r="M99" s="16"/>
      <c r="N99" s="84"/>
      <c r="O99" s="85"/>
      <c r="Q99" s="83"/>
      <c r="R99" s="16"/>
      <c r="S99" s="84"/>
      <c r="T99" s="81"/>
      <c r="V99" s="83"/>
      <c r="W99" s="87"/>
      <c r="X99" s="11"/>
    </row>
    <row r="100" spans="1:24" x14ac:dyDescent="0.25">
      <c r="A100" s="14"/>
      <c r="B100" s="15"/>
      <c r="C100" s="15"/>
      <c r="G100" s="14"/>
      <c r="H100" s="15"/>
      <c r="L100" s="83"/>
      <c r="M100" s="16"/>
      <c r="N100" s="84"/>
      <c r="O100" s="85"/>
      <c r="Q100" s="83"/>
      <c r="R100" s="16"/>
      <c r="S100" s="84"/>
      <c r="T100" s="81"/>
      <c r="V100" s="83"/>
      <c r="W100" s="87"/>
      <c r="X100" s="11"/>
    </row>
    <row r="101" spans="1:24" x14ac:dyDescent="0.25">
      <c r="A101" s="14"/>
      <c r="B101" s="15"/>
      <c r="C101" s="15"/>
      <c r="G101" s="14"/>
      <c r="H101" s="15"/>
      <c r="L101" s="83"/>
      <c r="M101" s="16"/>
      <c r="N101" s="84"/>
      <c r="O101" s="85"/>
      <c r="Q101" s="83"/>
      <c r="R101" s="16"/>
      <c r="S101" s="84"/>
      <c r="T101" s="81"/>
      <c r="V101" s="83"/>
      <c r="W101" s="87"/>
      <c r="X101" s="11"/>
    </row>
    <row r="102" spans="1:24" x14ac:dyDescent="0.25">
      <c r="A102" s="14"/>
      <c r="B102" s="15"/>
      <c r="C102" s="15"/>
      <c r="G102" s="14"/>
      <c r="H102" s="15"/>
      <c r="L102" s="83"/>
      <c r="M102" s="16"/>
      <c r="N102" s="84"/>
      <c r="O102" s="85"/>
      <c r="Q102" s="83"/>
      <c r="R102" s="16"/>
      <c r="S102" s="84"/>
      <c r="T102" s="81"/>
      <c r="V102" s="83"/>
      <c r="W102" s="87"/>
      <c r="X102" s="11"/>
    </row>
    <row r="103" spans="1:24" x14ac:dyDescent="0.25">
      <c r="A103" s="14"/>
      <c r="B103" s="15"/>
      <c r="C103" s="15"/>
      <c r="G103" s="14"/>
      <c r="H103" s="15"/>
      <c r="L103" s="83"/>
      <c r="M103" s="16"/>
      <c r="N103" s="84"/>
      <c r="O103" s="85"/>
      <c r="Q103" s="83"/>
      <c r="R103" s="16"/>
      <c r="S103" s="84"/>
      <c r="T103" s="81"/>
      <c r="V103" s="83"/>
      <c r="W103" s="87"/>
      <c r="X103" s="11"/>
    </row>
    <row r="104" spans="1:24" x14ac:dyDescent="0.25">
      <c r="A104" s="14"/>
      <c r="B104" s="15"/>
      <c r="C104" s="15"/>
      <c r="G104" s="14"/>
      <c r="H104" s="15"/>
      <c r="L104" s="83"/>
      <c r="M104" s="16"/>
      <c r="N104" s="84"/>
      <c r="O104" s="85"/>
      <c r="Q104" s="83"/>
      <c r="R104" s="16"/>
      <c r="S104" s="84"/>
      <c r="T104" s="81"/>
      <c r="V104" s="83"/>
      <c r="W104" s="87"/>
      <c r="X104" s="11"/>
    </row>
    <row r="105" spans="1:24" x14ac:dyDescent="0.25">
      <c r="A105" s="14"/>
      <c r="B105" s="15"/>
      <c r="C105" s="15"/>
      <c r="G105" s="14"/>
      <c r="H105" s="15"/>
      <c r="L105" s="83"/>
      <c r="M105" s="16"/>
      <c r="N105" s="84"/>
      <c r="O105" s="85"/>
      <c r="Q105" s="83"/>
      <c r="R105" s="16"/>
      <c r="S105" s="84"/>
      <c r="T105" s="81"/>
      <c r="V105" s="83"/>
      <c r="W105" s="87"/>
      <c r="X105" s="11"/>
    </row>
    <row r="106" spans="1:24" x14ac:dyDescent="0.25">
      <c r="A106" s="14"/>
      <c r="B106" s="15"/>
      <c r="C106" s="15"/>
      <c r="G106" s="14"/>
      <c r="H106" s="15"/>
      <c r="L106" s="83"/>
      <c r="M106" s="16"/>
      <c r="N106" s="84"/>
      <c r="O106" s="85"/>
      <c r="Q106" s="83"/>
      <c r="R106" s="16"/>
      <c r="S106" s="84"/>
      <c r="T106" s="81"/>
      <c r="V106" s="83"/>
      <c r="W106" s="87"/>
      <c r="X106" s="11"/>
    </row>
    <row r="107" spans="1:24" x14ac:dyDescent="0.25">
      <c r="A107" s="14"/>
      <c r="B107" s="15"/>
      <c r="C107" s="15"/>
      <c r="G107" s="14"/>
      <c r="H107" s="15"/>
      <c r="L107" s="83"/>
      <c r="M107" s="16"/>
      <c r="N107" s="84"/>
      <c r="O107" s="85"/>
      <c r="Q107" s="83"/>
      <c r="R107" s="16"/>
      <c r="S107" s="84"/>
      <c r="T107" s="81"/>
      <c r="V107" s="83"/>
      <c r="W107" s="87"/>
      <c r="X107" s="11"/>
    </row>
    <row r="108" spans="1:24" x14ac:dyDescent="0.25">
      <c r="A108" s="14"/>
      <c r="B108" s="15"/>
      <c r="C108" s="15"/>
      <c r="G108" s="14"/>
      <c r="H108" s="15"/>
      <c r="L108" s="83"/>
      <c r="M108" s="16"/>
      <c r="N108" s="84"/>
      <c r="O108" s="85"/>
      <c r="Q108" s="83"/>
      <c r="R108" s="16"/>
      <c r="S108" s="84"/>
      <c r="T108" s="81"/>
      <c r="V108" s="83"/>
      <c r="W108" s="87"/>
      <c r="X108" s="11"/>
    </row>
    <row r="109" spans="1:24" x14ac:dyDescent="0.25">
      <c r="A109" s="14"/>
      <c r="B109" s="15"/>
      <c r="C109" s="15"/>
      <c r="G109" s="14"/>
      <c r="H109" s="15"/>
      <c r="L109" s="83"/>
      <c r="M109" s="16"/>
      <c r="N109" s="84"/>
      <c r="O109" s="85"/>
      <c r="Q109" s="83"/>
      <c r="R109" s="16"/>
      <c r="S109" s="84"/>
      <c r="T109" s="81"/>
      <c r="V109" s="83"/>
      <c r="W109" s="87"/>
      <c r="X109" s="11"/>
    </row>
    <row r="110" spans="1:24" x14ac:dyDescent="0.25">
      <c r="A110" s="14"/>
      <c r="B110" s="15"/>
      <c r="C110" s="15"/>
      <c r="G110" s="14"/>
      <c r="H110" s="15"/>
      <c r="L110" s="83"/>
      <c r="M110" s="16"/>
      <c r="N110" s="84"/>
      <c r="O110" s="85"/>
      <c r="Q110" s="83"/>
      <c r="R110" s="16"/>
      <c r="S110" s="84"/>
      <c r="T110" s="81"/>
      <c r="V110" s="10"/>
      <c r="W110" s="87"/>
      <c r="X110" s="11"/>
    </row>
    <row r="111" spans="1:24" x14ac:dyDescent="0.25">
      <c r="A111" s="14"/>
      <c r="B111" s="15"/>
      <c r="C111" s="15"/>
      <c r="G111" s="14"/>
      <c r="H111" s="15"/>
      <c r="L111" s="83"/>
      <c r="M111" s="16"/>
      <c r="N111" s="84"/>
      <c r="O111" s="85"/>
      <c r="Q111" s="83"/>
      <c r="R111" s="16"/>
      <c r="S111" s="84"/>
      <c r="T111" s="81"/>
      <c r="V111" s="10"/>
      <c r="W111" s="87"/>
      <c r="X111" s="11"/>
    </row>
    <row r="112" spans="1:24" x14ac:dyDescent="0.25">
      <c r="A112" s="14"/>
      <c r="B112" s="15"/>
      <c r="C112" s="15"/>
      <c r="G112" s="14"/>
      <c r="H112" s="15"/>
      <c r="L112" s="83"/>
      <c r="M112" s="16"/>
      <c r="N112" s="84"/>
      <c r="O112" s="85"/>
      <c r="Q112" s="83"/>
      <c r="R112" s="16"/>
      <c r="S112" s="84"/>
      <c r="T112" s="81"/>
      <c r="V112" s="10"/>
      <c r="W112" s="87"/>
      <c r="X112" s="11"/>
    </row>
    <row r="113" spans="1:24" x14ac:dyDescent="0.25">
      <c r="A113" s="14"/>
      <c r="B113" s="15"/>
      <c r="C113" s="15"/>
      <c r="G113" s="14"/>
      <c r="H113" s="15"/>
      <c r="L113" s="83"/>
      <c r="M113" s="16"/>
      <c r="N113" s="84"/>
      <c r="O113" s="85"/>
      <c r="Q113" s="83"/>
      <c r="R113" s="16"/>
      <c r="S113" s="84"/>
      <c r="T113" s="81"/>
      <c r="V113" s="10"/>
      <c r="W113" s="87"/>
      <c r="X113" s="11"/>
    </row>
    <row r="114" spans="1:24" x14ac:dyDescent="0.25">
      <c r="A114" s="14"/>
      <c r="B114" s="15"/>
      <c r="C114" s="15"/>
      <c r="G114" s="14"/>
      <c r="H114" s="15"/>
      <c r="L114" s="83"/>
      <c r="M114" s="16"/>
      <c r="N114" s="84"/>
      <c r="O114" s="85"/>
      <c r="Q114" s="83"/>
      <c r="R114" s="16"/>
      <c r="S114" s="84"/>
      <c r="T114" s="81"/>
      <c r="V114" s="10"/>
      <c r="W114" s="87"/>
      <c r="X114" s="11"/>
    </row>
    <row r="115" spans="1:24" x14ac:dyDescent="0.25">
      <c r="A115" s="14"/>
      <c r="B115" s="15"/>
      <c r="C115" s="15"/>
      <c r="G115" s="14"/>
      <c r="H115" s="15"/>
      <c r="L115" s="83"/>
      <c r="M115" s="16"/>
      <c r="N115" s="84"/>
      <c r="O115" s="85"/>
      <c r="Q115" s="83"/>
      <c r="R115" s="16"/>
      <c r="S115" s="84"/>
      <c r="T115" s="81"/>
      <c r="V115" s="10"/>
      <c r="W115" s="87"/>
      <c r="X115" s="11"/>
    </row>
    <row r="116" spans="1:24" x14ac:dyDescent="0.25">
      <c r="A116" s="14"/>
      <c r="B116" s="15"/>
      <c r="C116" s="15"/>
      <c r="G116" s="14"/>
      <c r="H116" s="15"/>
      <c r="L116" s="83"/>
      <c r="M116" s="16"/>
      <c r="N116" s="84"/>
      <c r="O116" s="85"/>
      <c r="Q116" s="83"/>
      <c r="R116" s="16"/>
      <c r="S116" s="84"/>
      <c r="T116" s="81"/>
      <c r="V116" s="10"/>
      <c r="W116" s="87"/>
      <c r="X116" s="11"/>
    </row>
    <row r="117" spans="1:24" x14ac:dyDescent="0.25">
      <c r="A117" s="14"/>
      <c r="B117" s="15"/>
      <c r="C117" s="14"/>
      <c r="G117" s="14"/>
      <c r="H117" s="15"/>
      <c r="L117" s="83"/>
      <c r="M117" s="16"/>
      <c r="N117" s="84"/>
      <c r="O117" s="85"/>
      <c r="Q117" s="83"/>
      <c r="R117" s="16"/>
      <c r="S117" s="84"/>
      <c r="T117" s="81"/>
      <c r="V117" s="10"/>
      <c r="W117" s="87"/>
      <c r="X117" s="11"/>
    </row>
    <row r="118" spans="1:24" x14ac:dyDescent="0.25">
      <c r="A118" s="14"/>
      <c r="B118" s="14"/>
      <c r="C118" s="14"/>
      <c r="G118" s="14"/>
      <c r="H118" s="14"/>
      <c r="L118" s="83"/>
      <c r="M118" s="16"/>
      <c r="N118" s="84"/>
      <c r="O118" s="85"/>
      <c r="Q118" s="83"/>
      <c r="R118" s="16"/>
      <c r="S118" s="84"/>
      <c r="T118" s="81"/>
      <c r="V118" s="10"/>
      <c r="W118" s="87"/>
      <c r="X118" s="11"/>
    </row>
    <row r="119" spans="1:24" x14ac:dyDescent="0.25">
      <c r="A119" s="14"/>
      <c r="B119" s="14"/>
      <c r="C119" s="14"/>
      <c r="G119" s="14"/>
      <c r="H119" s="14"/>
      <c r="L119" s="83"/>
      <c r="M119" s="16"/>
      <c r="N119" s="84"/>
      <c r="O119" s="85"/>
      <c r="Q119" s="83"/>
      <c r="R119" s="16"/>
      <c r="S119" s="84"/>
      <c r="T119" s="81"/>
      <c r="V119" s="10"/>
      <c r="W119" s="87"/>
      <c r="X119" s="11"/>
    </row>
    <row r="120" spans="1:24" x14ac:dyDescent="0.25">
      <c r="A120" s="14"/>
      <c r="B120" s="14"/>
      <c r="C120" s="14"/>
      <c r="G120" s="14"/>
      <c r="H120" s="14"/>
      <c r="L120" s="83"/>
      <c r="M120" s="16"/>
      <c r="N120" s="84"/>
      <c r="O120" s="85"/>
      <c r="Q120" s="83"/>
      <c r="R120" s="16"/>
      <c r="S120" s="84"/>
      <c r="T120" s="81"/>
      <c r="V120" s="10"/>
      <c r="W120" s="87"/>
      <c r="X120" s="11"/>
    </row>
    <row r="121" spans="1:24" x14ac:dyDescent="0.25">
      <c r="A121" s="14"/>
      <c r="B121" s="14"/>
      <c r="C121" s="14"/>
      <c r="G121" s="14"/>
      <c r="H121" s="14"/>
      <c r="L121" s="83"/>
      <c r="M121" s="16"/>
      <c r="N121" s="84"/>
      <c r="O121" s="85"/>
      <c r="Q121" s="10"/>
      <c r="R121" s="16"/>
      <c r="S121" s="11"/>
      <c r="T121" s="11"/>
      <c r="V121" s="10"/>
      <c r="W121" s="87"/>
      <c r="X121" s="11"/>
    </row>
    <row r="122" spans="1:24" x14ac:dyDescent="0.25">
      <c r="A122" s="14"/>
      <c r="B122" s="14"/>
      <c r="C122" s="14"/>
      <c r="G122" s="14"/>
      <c r="H122" s="14"/>
      <c r="L122" s="83"/>
      <c r="M122" s="16"/>
      <c r="N122" s="84"/>
      <c r="O122" s="85"/>
      <c r="Q122" s="10"/>
      <c r="R122" s="16"/>
      <c r="S122" s="11"/>
      <c r="T122" s="11"/>
      <c r="V122" s="10"/>
      <c r="W122" s="87"/>
      <c r="X122" s="11"/>
    </row>
    <row r="123" spans="1:24" x14ac:dyDescent="0.25">
      <c r="A123" s="14"/>
      <c r="B123" s="14"/>
      <c r="C123" s="14"/>
      <c r="G123" s="14"/>
      <c r="H123" s="14"/>
      <c r="L123" s="83"/>
      <c r="M123" s="16"/>
      <c r="N123" s="84"/>
      <c r="O123" s="85"/>
      <c r="Q123" s="10"/>
      <c r="R123" s="16"/>
      <c r="S123" s="11"/>
      <c r="T123" s="11"/>
      <c r="V123" s="10"/>
      <c r="W123" s="87"/>
      <c r="X123" s="11"/>
    </row>
    <row r="124" spans="1:24" x14ac:dyDescent="0.25">
      <c r="A124" s="14"/>
      <c r="B124" s="14"/>
      <c r="C124" s="14"/>
      <c r="G124" s="14"/>
      <c r="H124" s="14"/>
      <c r="L124" s="83"/>
      <c r="M124" s="16"/>
      <c r="N124" s="84"/>
      <c r="O124" s="85"/>
      <c r="Q124" s="10"/>
      <c r="R124" s="16"/>
      <c r="S124" s="11"/>
      <c r="T124" s="11"/>
      <c r="V124" s="10"/>
      <c r="W124" s="87"/>
      <c r="X124" s="11"/>
    </row>
    <row r="125" spans="1:24" x14ac:dyDescent="0.25">
      <c r="A125" s="14"/>
      <c r="B125" s="14"/>
      <c r="C125" s="14"/>
      <c r="G125" s="14"/>
      <c r="H125" s="14"/>
      <c r="L125" s="83"/>
      <c r="M125" s="16"/>
      <c r="N125" s="84"/>
      <c r="O125" s="85"/>
      <c r="Q125" s="10"/>
      <c r="R125" s="16"/>
      <c r="S125" s="11"/>
      <c r="T125" s="11"/>
      <c r="V125" s="10"/>
      <c r="W125" s="87"/>
      <c r="X125" s="11"/>
    </row>
    <row r="126" spans="1:24" x14ac:dyDescent="0.25">
      <c r="A126" s="14"/>
      <c r="B126" s="14"/>
      <c r="C126" s="14"/>
      <c r="G126" s="14"/>
      <c r="H126" s="14"/>
      <c r="L126" s="83"/>
      <c r="M126" s="16"/>
      <c r="N126" s="84"/>
      <c r="O126" s="85"/>
      <c r="Q126" s="10"/>
      <c r="R126" s="16"/>
      <c r="S126" s="11"/>
      <c r="T126" s="11"/>
      <c r="V126" s="10"/>
      <c r="W126" s="87"/>
      <c r="X126" s="11"/>
    </row>
    <row r="127" spans="1:24" x14ac:dyDescent="0.25">
      <c r="A127" s="14"/>
      <c r="B127" s="14"/>
      <c r="C127" s="14"/>
      <c r="G127" s="14"/>
      <c r="H127" s="14"/>
      <c r="L127" s="83"/>
      <c r="M127" s="16"/>
      <c r="N127" s="84"/>
      <c r="O127" s="85"/>
      <c r="Q127" s="10"/>
      <c r="R127" s="16"/>
      <c r="S127" s="11"/>
      <c r="T127" s="11"/>
      <c r="V127" s="10"/>
      <c r="W127" s="87"/>
      <c r="X127" s="11"/>
    </row>
    <row r="128" spans="1:24" x14ac:dyDescent="0.25">
      <c r="A128" s="14"/>
      <c r="B128" s="14"/>
      <c r="C128" s="14"/>
      <c r="G128" s="14"/>
      <c r="H128" s="14"/>
      <c r="L128" s="83"/>
      <c r="M128" s="16"/>
      <c r="N128" s="84"/>
      <c r="O128" s="85"/>
      <c r="Q128" s="10"/>
      <c r="R128" s="16"/>
      <c r="S128" s="11"/>
      <c r="T128" s="11"/>
      <c r="V128" s="10"/>
      <c r="W128" s="87"/>
      <c r="X128" s="11"/>
    </row>
    <row r="129" spans="1:24" x14ac:dyDescent="0.25">
      <c r="A129" s="14"/>
      <c r="B129" s="14"/>
      <c r="C129" s="14"/>
      <c r="G129" s="14"/>
      <c r="H129" s="14"/>
      <c r="L129" s="83"/>
      <c r="M129" s="16"/>
      <c r="N129" s="84"/>
      <c r="O129" s="85"/>
      <c r="Q129" s="10"/>
      <c r="R129" s="16"/>
      <c r="S129" s="11"/>
      <c r="T129" s="11"/>
      <c r="V129" s="10"/>
      <c r="W129" s="87"/>
      <c r="X129" s="11"/>
    </row>
    <row r="130" spans="1:24" x14ac:dyDescent="0.25">
      <c r="A130" s="14"/>
      <c r="B130" s="14"/>
      <c r="C130" s="14"/>
      <c r="G130" s="14"/>
      <c r="H130" s="14"/>
      <c r="L130" s="83"/>
      <c r="M130" s="16"/>
      <c r="N130" s="84"/>
      <c r="O130" s="85"/>
      <c r="Q130" s="10"/>
      <c r="R130" s="16"/>
      <c r="S130" s="11"/>
      <c r="T130" s="11"/>
      <c r="V130" s="10"/>
      <c r="W130" s="87"/>
      <c r="X130" s="11"/>
    </row>
    <row r="131" spans="1:24" x14ac:dyDescent="0.25">
      <c r="A131" s="14"/>
      <c r="B131" s="14"/>
      <c r="C131" s="14"/>
      <c r="G131" s="14"/>
      <c r="H131" s="14"/>
      <c r="L131" s="83"/>
      <c r="M131" s="16"/>
      <c r="N131" s="84"/>
      <c r="O131" s="85"/>
      <c r="Q131" s="10"/>
      <c r="R131" s="16"/>
      <c r="S131" s="11"/>
      <c r="T131" s="11"/>
      <c r="V131" s="10"/>
      <c r="W131" s="87"/>
      <c r="X131" s="11"/>
    </row>
    <row r="132" spans="1:24" x14ac:dyDescent="0.25">
      <c r="A132" s="14"/>
      <c r="B132" s="14"/>
      <c r="C132" s="14"/>
      <c r="G132" s="14"/>
      <c r="H132" s="14"/>
      <c r="L132" s="83"/>
      <c r="M132" s="16"/>
      <c r="N132" s="84"/>
      <c r="O132" s="85"/>
      <c r="Q132" s="10"/>
      <c r="R132" s="16"/>
      <c r="S132" s="11"/>
      <c r="T132" s="11"/>
      <c r="V132" s="10"/>
      <c r="W132" s="87"/>
      <c r="X132" s="11"/>
    </row>
    <row r="133" spans="1:24" x14ac:dyDescent="0.25">
      <c r="A133" s="14"/>
      <c r="B133" s="14"/>
      <c r="C133" s="14"/>
      <c r="G133" s="14"/>
      <c r="H133" s="14"/>
      <c r="L133" s="83"/>
      <c r="M133" s="16"/>
      <c r="N133" s="84"/>
      <c r="O133" s="85"/>
      <c r="Q133" s="10"/>
      <c r="R133" s="16"/>
      <c r="S133" s="11"/>
      <c r="T133" s="11"/>
      <c r="V133" s="10"/>
      <c r="W133" s="87"/>
      <c r="X133" s="11"/>
    </row>
    <row r="134" spans="1:24" x14ac:dyDescent="0.25">
      <c r="A134" s="14"/>
      <c r="B134" s="14"/>
      <c r="C134" s="14"/>
      <c r="G134" s="14"/>
      <c r="H134" s="14"/>
      <c r="L134" s="83"/>
      <c r="M134" s="16"/>
      <c r="N134" s="84"/>
      <c r="O134" s="85"/>
      <c r="Q134" s="10"/>
      <c r="R134" s="16"/>
      <c r="S134" s="11"/>
      <c r="T134" s="11"/>
      <c r="V134" s="10"/>
      <c r="W134" s="87"/>
      <c r="X134" s="11"/>
    </row>
    <row r="135" spans="1:24" x14ac:dyDescent="0.25">
      <c r="A135" s="14"/>
      <c r="B135" s="14"/>
      <c r="C135" s="14"/>
      <c r="G135" s="14"/>
      <c r="H135" s="14"/>
      <c r="L135" s="83"/>
      <c r="M135" s="16"/>
      <c r="N135" s="84"/>
      <c r="O135" s="85"/>
      <c r="Q135" s="10"/>
      <c r="R135" s="16"/>
      <c r="S135" s="11"/>
      <c r="T135" s="11"/>
      <c r="V135" s="10"/>
      <c r="W135" s="87"/>
      <c r="X135" s="11"/>
    </row>
    <row r="136" spans="1:24" x14ac:dyDescent="0.25">
      <c r="A136" s="14"/>
      <c r="B136" s="14"/>
      <c r="C136" s="14"/>
      <c r="G136" s="14"/>
      <c r="H136" s="14"/>
      <c r="L136" s="83"/>
      <c r="M136" s="16"/>
      <c r="N136" s="84"/>
      <c r="O136" s="85"/>
      <c r="Q136" s="10"/>
      <c r="R136" s="16"/>
      <c r="S136" s="11"/>
      <c r="T136" s="11"/>
      <c r="V136" s="10"/>
      <c r="W136" s="87"/>
      <c r="X136" s="11"/>
    </row>
    <row r="137" spans="1:24" x14ac:dyDescent="0.25">
      <c r="A137" s="14"/>
      <c r="B137" s="14"/>
      <c r="C137" s="14"/>
      <c r="G137" s="14"/>
      <c r="H137" s="14"/>
      <c r="L137" s="83"/>
      <c r="M137" s="16"/>
      <c r="N137" s="84"/>
      <c r="O137" s="85"/>
      <c r="Q137" s="10"/>
      <c r="R137" s="16"/>
      <c r="S137" s="11"/>
      <c r="T137" s="11"/>
      <c r="V137" s="10"/>
      <c r="W137" s="87"/>
      <c r="X137" s="11"/>
    </row>
    <row r="138" spans="1:24" x14ac:dyDescent="0.25">
      <c r="A138" s="14"/>
      <c r="B138" s="14"/>
      <c r="C138" s="14"/>
      <c r="G138" s="14"/>
      <c r="H138" s="14"/>
      <c r="L138" s="83"/>
      <c r="M138" s="16"/>
      <c r="N138" s="84"/>
      <c r="O138" s="85"/>
      <c r="Q138" s="10"/>
      <c r="R138" s="16"/>
      <c r="S138" s="11"/>
      <c r="T138" s="11"/>
      <c r="V138" s="10"/>
      <c r="W138" s="87"/>
      <c r="X138" s="11"/>
    </row>
    <row r="139" spans="1:24" x14ac:dyDescent="0.25">
      <c r="A139" s="14"/>
      <c r="B139" s="14"/>
      <c r="C139" s="14"/>
      <c r="G139" s="14"/>
      <c r="H139" s="14"/>
      <c r="L139" s="83"/>
      <c r="M139" s="16"/>
      <c r="N139" s="84"/>
      <c r="O139" s="85"/>
      <c r="Q139" s="10"/>
      <c r="R139" s="16"/>
      <c r="S139" s="11"/>
      <c r="T139" s="11"/>
      <c r="V139" s="10"/>
      <c r="W139" s="87"/>
      <c r="X139" s="11"/>
    </row>
    <row r="140" spans="1:24" x14ac:dyDescent="0.25">
      <c r="A140" s="14"/>
      <c r="B140" s="14"/>
      <c r="C140" s="14"/>
      <c r="G140" s="14"/>
      <c r="H140" s="14"/>
      <c r="L140" s="83"/>
      <c r="M140" s="16"/>
      <c r="N140" s="84"/>
      <c r="O140" s="85"/>
      <c r="Q140" s="10"/>
      <c r="R140" s="16"/>
      <c r="S140" s="11"/>
      <c r="T140" s="11"/>
      <c r="V140" s="10"/>
      <c r="W140" s="87"/>
      <c r="X140" s="11"/>
    </row>
    <row r="141" spans="1:24" x14ac:dyDescent="0.25">
      <c r="A141" s="14"/>
      <c r="B141" s="14"/>
      <c r="C141" s="14"/>
      <c r="G141" s="14"/>
      <c r="H141" s="14"/>
      <c r="L141" s="83"/>
      <c r="M141" s="16"/>
      <c r="N141" s="84"/>
      <c r="O141" s="85"/>
      <c r="Q141" s="10"/>
      <c r="R141" s="16"/>
      <c r="S141" s="11"/>
      <c r="T141" s="11"/>
      <c r="V141" s="10"/>
      <c r="W141" s="87"/>
      <c r="X141" s="11"/>
    </row>
    <row r="142" spans="1:24" x14ac:dyDescent="0.25">
      <c r="A142" s="14"/>
      <c r="B142" s="14"/>
      <c r="C142" s="14"/>
      <c r="G142" s="14"/>
      <c r="H142" s="14"/>
      <c r="L142" s="83"/>
      <c r="M142" s="16"/>
      <c r="N142" s="84"/>
      <c r="O142" s="85"/>
      <c r="Q142" s="10"/>
      <c r="R142" s="16"/>
      <c r="S142" s="11"/>
      <c r="T142" s="11"/>
      <c r="V142" s="10"/>
      <c r="W142" s="87"/>
      <c r="X142" s="11"/>
    </row>
    <row r="143" spans="1:24" x14ac:dyDescent="0.25">
      <c r="A143" s="14"/>
      <c r="B143" s="14"/>
      <c r="C143" s="14"/>
      <c r="G143" s="14"/>
      <c r="H143" s="14"/>
      <c r="L143" s="83"/>
      <c r="M143" s="16"/>
      <c r="N143" s="84"/>
      <c r="O143" s="85"/>
      <c r="Q143" s="10"/>
      <c r="R143" s="16"/>
      <c r="S143" s="11"/>
      <c r="T143" s="11"/>
      <c r="V143" s="10"/>
      <c r="W143" s="87"/>
      <c r="X143" s="11"/>
    </row>
    <row r="144" spans="1:24" x14ac:dyDescent="0.25">
      <c r="A144" s="14"/>
      <c r="B144" s="14"/>
      <c r="C144" s="14"/>
      <c r="G144" s="14"/>
      <c r="H144" s="14"/>
      <c r="L144" s="83"/>
      <c r="M144" s="16"/>
      <c r="N144" s="84"/>
      <c r="O144" s="85"/>
      <c r="Q144" s="10"/>
      <c r="R144" s="16"/>
      <c r="S144" s="11"/>
      <c r="T144" s="11"/>
      <c r="V144" s="10"/>
      <c r="W144" s="87"/>
      <c r="X144" s="11"/>
    </row>
    <row r="145" spans="1:24" x14ac:dyDescent="0.25">
      <c r="A145" s="14"/>
      <c r="B145" s="14"/>
      <c r="C145" s="14"/>
      <c r="G145" s="14"/>
      <c r="H145" s="14"/>
      <c r="L145" s="83"/>
      <c r="M145" s="16"/>
      <c r="N145" s="84"/>
      <c r="O145" s="85"/>
      <c r="Q145" s="10"/>
      <c r="R145" s="16"/>
      <c r="S145" s="11"/>
      <c r="T145" s="11"/>
      <c r="V145" s="10"/>
      <c r="W145" s="87"/>
      <c r="X145" s="11"/>
    </row>
    <row r="146" spans="1:24" x14ac:dyDescent="0.25">
      <c r="A146" s="14"/>
      <c r="B146" s="14"/>
      <c r="C146" s="14"/>
      <c r="G146" s="14"/>
      <c r="H146" s="14"/>
      <c r="L146" s="83"/>
      <c r="M146" s="16"/>
      <c r="N146" s="84"/>
      <c r="O146" s="85"/>
      <c r="Q146" s="10"/>
      <c r="R146" s="16"/>
      <c r="S146" s="11"/>
      <c r="T146" s="11"/>
      <c r="V146" s="10"/>
      <c r="W146" s="87"/>
      <c r="X146" s="11"/>
    </row>
    <row r="147" spans="1:24" x14ac:dyDescent="0.25">
      <c r="A147" s="14"/>
      <c r="B147" s="14"/>
      <c r="C147" s="14"/>
      <c r="G147" s="14"/>
      <c r="H147" s="14"/>
      <c r="L147" s="10"/>
      <c r="M147" s="16"/>
      <c r="N147" s="11"/>
      <c r="O147" s="11"/>
      <c r="Q147" s="10"/>
      <c r="R147" s="16"/>
      <c r="S147" s="11"/>
      <c r="T147" s="11"/>
      <c r="V147" s="10"/>
      <c r="W147" s="87"/>
      <c r="X147" s="11"/>
    </row>
    <row r="148" spans="1:24" x14ac:dyDescent="0.25">
      <c r="A148" s="14"/>
      <c r="B148" s="14"/>
      <c r="C148" s="14"/>
      <c r="G148" s="14"/>
      <c r="H148" s="14"/>
      <c r="L148" s="10"/>
      <c r="M148" s="16"/>
      <c r="N148" s="11"/>
      <c r="O148" s="11"/>
      <c r="Q148" s="10"/>
      <c r="R148" s="16"/>
      <c r="S148" s="11"/>
      <c r="T148" s="11"/>
      <c r="V148" s="10"/>
      <c r="W148" s="87"/>
      <c r="X148" s="11"/>
    </row>
    <row r="149" spans="1:24" x14ac:dyDescent="0.25">
      <c r="A149" s="14"/>
      <c r="B149" s="14"/>
      <c r="C149" s="14"/>
      <c r="G149" s="14"/>
      <c r="H149" s="14"/>
      <c r="L149" s="10"/>
      <c r="M149" s="16"/>
      <c r="N149" s="11"/>
      <c r="O149" s="11"/>
      <c r="Q149" s="10"/>
      <c r="R149" s="16"/>
      <c r="S149" s="11"/>
      <c r="T149" s="11"/>
      <c r="V149" s="10"/>
      <c r="W149" s="87"/>
      <c r="X149" s="11"/>
    </row>
    <row r="150" spans="1:24" x14ac:dyDescent="0.25">
      <c r="A150" s="14"/>
      <c r="B150" s="14"/>
      <c r="C150" s="14"/>
      <c r="G150" s="14"/>
      <c r="H150" s="14"/>
      <c r="L150" s="10"/>
      <c r="M150" s="16"/>
      <c r="N150" s="11"/>
      <c r="O150" s="11"/>
      <c r="Q150" s="10"/>
      <c r="R150" s="16"/>
      <c r="S150" s="11"/>
      <c r="T150" s="11"/>
      <c r="V150" s="10"/>
      <c r="W150" s="87"/>
      <c r="X150" s="11"/>
    </row>
    <row r="151" spans="1:24" x14ac:dyDescent="0.25">
      <c r="A151" s="14"/>
      <c r="B151" s="14"/>
      <c r="C151" s="14"/>
      <c r="G151" s="14"/>
      <c r="H151" s="14"/>
      <c r="L151" s="10"/>
      <c r="M151" s="16"/>
      <c r="N151" s="11"/>
      <c r="O151" s="11"/>
      <c r="Q151" s="10"/>
      <c r="R151" s="16"/>
      <c r="S151" s="11"/>
      <c r="T151" s="11"/>
      <c r="V151" s="10"/>
      <c r="W151" s="87"/>
      <c r="X151" s="11"/>
    </row>
    <row r="152" spans="1:24" x14ac:dyDescent="0.25">
      <c r="A152" s="14"/>
      <c r="B152" s="14"/>
      <c r="C152" s="14"/>
      <c r="G152" s="14"/>
      <c r="H152" s="14"/>
      <c r="L152" s="10"/>
      <c r="M152" s="16"/>
      <c r="N152" s="11"/>
      <c r="O152" s="11"/>
      <c r="Q152" s="10"/>
      <c r="R152" s="16"/>
      <c r="S152" s="11"/>
      <c r="T152" s="11"/>
      <c r="V152" s="10"/>
      <c r="W152" s="87"/>
      <c r="X152" s="11"/>
    </row>
    <row r="153" spans="1:24" x14ac:dyDescent="0.25">
      <c r="A153" s="14"/>
      <c r="B153" s="14"/>
      <c r="C153" s="14"/>
      <c r="G153" s="14"/>
      <c r="H153" s="14"/>
      <c r="L153" s="10"/>
      <c r="M153" s="16"/>
      <c r="N153" s="11"/>
      <c r="O153" s="11"/>
      <c r="Q153" s="10"/>
      <c r="R153" s="16"/>
      <c r="S153" s="11"/>
      <c r="T153" s="11"/>
      <c r="V153" s="10"/>
      <c r="W153" s="87"/>
      <c r="X153" s="11"/>
    </row>
    <row r="154" spans="1:24" x14ac:dyDescent="0.25">
      <c r="A154" s="14"/>
      <c r="B154" s="14"/>
      <c r="C154" s="14"/>
      <c r="G154" s="14"/>
      <c r="H154" s="14"/>
      <c r="L154" s="10"/>
      <c r="M154" s="16"/>
      <c r="N154" s="11"/>
      <c r="O154" s="11"/>
      <c r="Q154" s="10"/>
      <c r="R154" s="16"/>
      <c r="S154" s="11"/>
      <c r="T154" s="11"/>
      <c r="V154" s="10"/>
      <c r="W154" s="87"/>
      <c r="X154" s="11"/>
    </row>
    <row r="155" spans="1:24" x14ac:dyDescent="0.25">
      <c r="A155" s="14"/>
      <c r="B155" s="14"/>
      <c r="C155" s="14"/>
      <c r="G155" s="14"/>
      <c r="H155" s="14"/>
      <c r="L155" s="10"/>
      <c r="M155" s="16"/>
      <c r="N155" s="11"/>
      <c r="O155" s="11"/>
      <c r="Q155" s="10"/>
      <c r="R155" s="16"/>
      <c r="S155" s="11"/>
      <c r="T155" s="11"/>
      <c r="V155" s="10"/>
      <c r="W155" s="87"/>
      <c r="X155" s="11"/>
    </row>
    <row r="156" spans="1:24" x14ac:dyDescent="0.25">
      <c r="A156" s="14"/>
      <c r="B156" s="14"/>
      <c r="C156" s="14"/>
      <c r="G156" s="14"/>
      <c r="H156" s="14"/>
      <c r="L156" s="10"/>
      <c r="M156" s="16"/>
      <c r="N156" s="11"/>
      <c r="O156" s="11"/>
      <c r="Q156" s="10"/>
      <c r="R156" s="16"/>
      <c r="S156" s="11"/>
      <c r="T156" s="11"/>
      <c r="V156" s="10"/>
      <c r="W156" s="87"/>
      <c r="X156" s="11"/>
    </row>
    <row r="157" spans="1:24" x14ac:dyDescent="0.25">
      <c r="A157" s="14"/>
      <c r="B157" s="14"/>
      <c r="C157" s="14"/>
      <c r="G157" s="14"/>
      <c r="H157" s="14"/>
      <c r="L157" s="10"/>
      <c r="M157" s="16"/>
      <c r="N157" s="11"/>
      <c r="O157" s="11"/>
      <c r="Q157" s="10"/>
      <c r="R157" s="16"/>
      <c r="S157" s="11"/>
      <c r="T157" s="11"/>
      <c r="V157" s="10"/>
      <c r="W157" s="87"/>
      <c r="X157" s="11"/>
    </row>
    <row r="158" spans="1:24" x14ac:dyDescent="0.25">
      <c r="A158" s="14"/>
      <c r="B158" s="14"/>
      <c r="C158" s="14"/>
      <c r="G158" s="14"/>
      <c r="H158" s="14"/>
      <c r="L158" s="10"/>
      <c r="M158" s="16"/>
      <c r="N158" s="11"/>
      <c r="O158" s="11"/>
      <c r="Q158" s="10"/>
      <c r="R158" s="16"/>
      <c r="S158" s="11"/>
      <c r="T158" s="11"/>
      <c r="V158" s="10"/>
      <c r="W158" s="87"/>
      <c r="X158" s="11"/>
    </row>
    <row r="159" spans="1:24" x14ac:dyDescent="0.25">
      <c r="A159" s="14"/>
      <c r="B159" s="14"/>
      <c r="C159" s="14"/>
      <c r="G159" s="14"/>
      <c r="H159" s="14"/>
      <c r="L159" s="10"/>
      <c r="M159" s="16"/>
      <c r="N159" s="11"/>
      <c r="O159" s="11"/>
      <c r="Q159" s="10"/>
      <c r="R159" s="16"/>
      <c r="S159" s="11"/>
      <c r="T159" s="11"/>
      <c r="V159" s="10"/>
      <c r="W159" s="87"/>
      <c r="X159" s="11"/>
    </row>
    <row r="160" spans="1:24" x14ac:dyDescent="0.25">
      <c r="A160" s="14"/>
      <c r="B160" s="14"/>
      <c r="C160" s="14"/>
      <c r="G160" s="14"/>
      <c r="H160" s="14"/>
      <c r="L160" s="10"/>
      <c r="M160" s="16"/>
      <c r="N160" s="11"/>
      <c r="O160" s="11"/>
      <c r="Q160" s="10"/>
      <c r="R160" s="16"/>
      <c r="S160" s="11"/>
      <c r="T160" s="11"/>
      <c r="V160" s="10"/>
      <c r="W160" s="87"/>
      <c r="X160" s="11"/>
    </row>
    <row r="161" spans="1:24" x14ac:dyDescent="0.25">
      <c r="A161" s="14"/>
      <c r="B161" s="14"/>
      <c r="C161" s="14"/>
      <c r="G161" s="14"/>
      <c r="H161" s="14"/>
      <c r="L161" s="10"/>
      <c r="M161" s="16"/>
      <c r="N161" s="11"/>
      <c r="O161" s="11"/>
      <c r="Q161" s="10"/>
      <c r="R161" s="16"/>
      <c r="S161" s="11"/>
      <c r="T161" s="11"/>
      <c r="V161" s="10"/>
      <c r="W161" s="87"/>
      <c r="X161" s="11"/>
    </row>
    <row r="162" spans="1:24" x14ac:dyDescent="0.25">
      <c r="A162" s="14"/>
      <c r="B162" s="14"/>
      <c r="C162" s="14"/>
      <c r="G162" s="14"/>
      <c r="H162" s="14"/>
      <c r="L162" s="10"/>
      <c r="M162" s="16"/>
      <c r="N162" s="11"/>
      <c r="O162" s="11"/>
      <c r="Q162" s="10"/>
      <c r="R162" s="16"/>
      <c r="S162" s="11"/>
      <c r="T162" s="11"/>
      <c r="V162" s="10"/>
      <c r="W162" s="87"/>
      <c r="X162" s="11"/>
    </row>
    <row r="163" spans="1:24" x14ac:dyDescent="0.25">
      <c r="A163" s="14"/>
      <c r="B163" s="14"/>
      <c r="C163" s="14"/>
      <c r="G163" s="14"/>
      <c r="H163" s="14"/>
      <c r="L163" s="10"/>
      <c r="M163" s="16"/>
      <c r="N163" s="11"/>
      <c r="O163" s="11"/>
      <c r="Q163" s="10"/>
      <c r="R163" s="16"/>
      <c r="S163" s="11"/>
      <c r="T163" s="11"/>
      <c r="V163" s="10"/>
      <c r="W163" s="87"/>
      <c r="X163" s="11"/>
    </row>
    <row r="164" spans="1:24" x14ac:dyDescent="0.25">
      <c r="A164" s="14"/>
      <c r="B164" s="14"/>
      <c r="C164" s="14"/>
      <c r="G164" s="14"/>
      <c r="H164" s="14"/>
      <c r="L164" s="10"/>
      <c r="M164" s="16"/>
      <c r="N164" s="11"/>
      <c r="O164" s="11"/>
      <c r="Q164" s="10"/>
      <c r="R164" s="16"/>
      <c r="S164" s="11"/>
      <c r="T164" s="11"/>
      <c r="V164" s="10"/>
      <c r="W164" s="87"/>
      <c r="X164" s="11"/>
    </row>
    <row r="165" spans="1:24" x14ac:dyDescent="0.25">
      <c r="B165" s="14"/>
      <c r="C165" s="14"/>
      <c r="H165" s="14"/>
      <c r="L165" s="10"/>
      <c r="M165" s="16"/>
      <c r="N165" s="11"/>
      <c r="O165" s="11"/>
      <c r="Q165" s="10"/>
      <c r="R165" s="16"/>
      <c r="S165" s="11"/>
      <c r="T165" s="11"/>
      <c r="V165" s="10"/>
      <c r="W165" s="87"/>
      <c r="X165" s="11"/>
    </row>
    <row r="166" spans="1:24" x14ac:dyDescent="0.25">
      <c r="B166" s="14"/>
      <c r="C166" s="14"/>
      <c r="H166" s="14"/>
      <c r="L166" s="10"/>
      <c r="M166" s="16"/>
      <c r="N166" s="11"/>
      <c r="O166" s="11"/>
      <c r="Q166" s="10"/>
      <c r="R166" s="16"/>
      <c r="S166" s="11"/>
      <c r="T166" s="11"/>
      <c r="V166" s="10"/>
      <c r="W166" s="87"/>
      <c r="X166" s="11"/>
    </row>
    <row r="167" spans="1:24" x14ac:dyDescent="0.25">
      <c r="B167" s="14"/>
      <c r="C167" s="14"/>
      <c r="H167" s="14"/>
      <c r="L167" s="10"/>
      <c r="M167" s="16"/>
      <c r="N167" s="11"/>
      <c r="O167" s="11"/>
      <c r="Q167" s="10"/>
      <c r="R167" s="16"/>
      <c r="S167" s="11"/>
      <c r="T167" s="11"/>
      <c r="V167" s="10"/>
      <c r="W167" s="87"/>
      <c r="X167" s="11"/>
    </row>
    <row r="168" spans="1:24" x14ac:dyDescent="0.25">
      <c r="B168" s="14"/>
      <c r="C168" s="14"/>
      <c r="H168" s="14"/>
      <c r="L168" s="10"/>
      <c r="M168" s="16"/>
      <c r="N168" s="11"/>
      <c r="O168" s="11"/>
      <c r="Q168" s="10"/>
      <c r="R168" s="16"/>
      <c r="S168" s="11"/>
      <c r="T168" s="11"/>
      <c r="V168" s="10"/>
      <c r="W168" s="87"/>
      <c r="X168" s="11"/>
    </row>
    <row r="169" spans="1:24" x14ac:dyDescent="0.25">
      <c r="B169" s="14"/>
      <c r="C169" s="14"/>
      <c r="H169" s="14"/>
      <c r="L169" s="10"/>
      <c r="M169" s="16"/>
      <c r="N169" s="11"/>
      <c r="O169" s="11"/>
      <c r="Q169" s="10"/>
      <c r="R169" s="16"/>
      <c r="S169" s="11"/>
      <c r="T169" s="11"/>
      <c r="V169" s="10"/>
      <c r="W169" s="87"/>
      <c r="X169" s="11"/>
    </row>
    <row r="170" spans="1:24" x14ac:dyDescent="0.25">
      <c r="B170" s="14"/>
      <c r="C170" s="14"/>
      <c r="H170" s="14"/>
      <c r="L170" s="10"/>
      <c r="M170" s="16"/>
      <c r="N170" s="11"/>
      <c r="O170" s="11"/>
      <c r="Q170" s="10"/>
      <c r="R170" s="16"/>
      <c r="S170" s="11"/>
      <c r="T170" s="11"/>
      <c r="V170" s="10"/>
      <c r="W170" s="87"/>
      <c r="X170" s="11"/>
    </row>
    <row r="171" spans="1:24" x14ac:dyDescent="0.25">
      <c r="B171" s="14"/>
      <c r="C171" s="14"/>
      <c r="H171" s="14"/>
      <c r="L171" s="10"/>
      <c r="M171" s="16"/>
      <c r="N171" s="11"/>
      <c r="O171" s="11"/>
      <c r="Q171" s="10"/>
      <c r="R171" s="16"/>
      <c r="S171" s="11"/>
      <c r="T171" s="11"/>
      <c r="V171" s="10"/>
      <c r="W171" s="87"/>
      <c r="X171" s="11"/>
    </row>
    <row r="172" spans="1:24" x14ac:dyDescent="0.25">
      <c r="B172" s="14"/>
      <c r="C172" s="14"/>
      <c r="H172" s="14"/>
      <c r="L172" s="10"/>
      <c r="M172" s="16"/>
      <c r="N172" s="11"/>
      <c r="O172" s="11"/>
      <c r="Q172" s="10"/>
      <c r="R172" s="16"/>
      <c r="S172" s="11"/>
      <c r="T172" s="11"/>
      <c r="V172" s="10"/>
      <c r="W172" s="87"/>
      <c r="X172" s="11"/>
    </row>
    <row r="173" spans="1:24" x14ac:dyDescent="0.25">
      <c r="B173" s="14"/>
      <c r="C173" s="14"/>
      <c r="H173" s="14"/>
      <c r="L173" s="10"/>
      <c r="M173" s="16"/>
      <c r="N173" s="11"/>
      <c r="O173" s="11"/>
      <c r="Q173" s="10"/>
      <c r="R173" s="16"/>
      <c r="S173" s="11"/>
      <c r="T173" s="11"/>
      <c r="V173" s="10"/>
      <c r="W173" s="87"/>
      <c r="X173" s="11"/>
    </row>
    <row r="174" spans="1:24" x14ac:dyDescent="0.25">
      <c r="B174" s="14"/>
      <c r="C174" s="14"/>
      <c r="H174" s="14"/>
      <c r="L174" s="10"/>
      <c r="M174" s="16"/>
      <c r="N174" s="11"/>
      <c r="O174" s="11"/>
      <c r="Q174" s="10"/>
      <c r="R174" s="16"/>
      <c r="S174" s="11"/>
      <c r="T174" s="11"/>
      <c r="V174" s="10"/>
      <c r="W174" s="87"/>
      <c r="X174" s="11"/>
    </row>
    <row r="175" spans="1:24" x14ac:dyDescent="0.25">
      <c r="B175" s="14"/>
      <c r="C175" s="14"/>
      <c r="H175" s="14"/>
      <c r="L175" s="10"/>
      <c r="M175" s="16"/>
      <c r="N175" s="16"/>
      <c r="O175" s="16"/>
      <c r="Q175" s="10"/>
      <c r="R175" s="16"/>
      <c r="S175" s="11"/>
      <c r="T175" s="11"/>
      <c r="V175" s="10"/>
      <c r="W175" s="87"/>
      <c r="X175" s="11"/>
    </row>
    <row r="176" spans="1:24" x14ac:dyDescent="0.25">
      <c r="B176" s="14"/>
      <c r="C176" s="14"/>
      <c r="H176" s="14"/>
      <c r="L176" s="10"/>
      <c r="M176" s="16"/>
      <c r="N176" s="16"/>
      <c r="O176" s="16"/>
      <c r="Q176" s="10"/>
      <c r="R176" s="16"/>
      <c r="S176" s="11"/>
      <c r="T176" s="11"/>
      <c r="V176" s="10"/>
      <c r="W176" s="87"/>
      <c r="X176" s="11"/>
    </row>
    <row r="177" spans="2:24" x14ac:dyDescent="0.25">
      <c r="B177" s="14"/>
      <c r="C177" s="14"/>
      <c r="H177" s="14"/>
      <c r="L177" s="10"/>
      <c r="M177" s="16"/>
      <c r="N177" s="16"/>
      <c r="O177" s="16"/>
      <c r="Q177" s="10"/>
      <c r="R177" s="16"/>
      <c r="S177" s="11"/>
      <c r="T177" s="11"/>
      <c r="V177" s="10"/>
      <c r="W177" s="87"/>
      <c r="X177" s="11"/>
    </row>
    <row r="178" spans="2:24" x14ac:dyDescent="0.25">
      <c r="B178" s="14"/>
      <c r="C178" s="14"/>
      <c r="H178" s="14"/>
      <c r="L178" s="10"/>
      <c r="M178" s="16"/>
      <c r="N178" s="16"/>
      <c r="O178" s="16"/>
      <c r="Q178" s="10"/>
      <c r="R178" s="16"/>
      <c r="S178" s="11"/>
      <c r="T178" s="11"/>
      <c r="V178" s="10"/>
      <c r="W178" s="87"/>
      <c r="X178" s="11"/>
    </row>
    <row r="179" spans="2:24" x14ac:dyDescent="0.25">
      <c r="B179" s="14"/>
      <c r="C179" s="14"/>
      <c r="H179" s="14"/>
      <c r="L179" s="10"/>
      <c r="M179" s="16"/>
      <c r="N179" s="16"/>
      <c r="O179" s="16"/>
      <c r="Q179" s="10"/>
      <c r="R179" s="16"/>
      <c r="S179" s="11"/>
      <c r="T179" s="11"/>
      <c r="V179" s="10"/>
      <c r="W179" s="87"/>
      <c r="X179" s="11"/>
    </row>
    <row r="180" spans="2:24" x14ac:dyDescent="0.25">
      <c r="B180" s="14"/>
      <c r="C180" s="14"/>
      <c r="H180" s="14"/>
      <c r="L180" s="10"/>
      <c r="M180" s="16"/>
      <c r="N180" s="16"/>
      <c r="O180" s="16"/>
      <c r="Q180" s="10"/>
      <c r="R180" s="16"/>
      <c r="S180" s="11"/>
      <c r="T180" s="11"/>
      <c r="V180" s="10"/>
      <c r="W180" s="87"/>
      <c r="X180" s="11"/>
    </row>
    <row r="181" spans="2:24" x14ac:dyDescent="0.25">
      <c r="B181" s="14"/>
      <c r="C181" s="14"/>
      <c r="H181" s="14"/>
      <c r="L181" s="10"/>
      <c r="M181" s="16"/>
      <c r="N181" s="16"/>
      <c r="O181" s="16"/>
      <c r="Q181" s="10"/>
      <c r="R181" s="16"/>
      <c r="S181" s="11"/>
      <c r="T181" s="11"/>
      <c r="V181" s="10"/>
      <c r="W181" s="87"/>
      <c r="X181" s="11"/>
    </row>
    <row r="182" spans="2:24" x14ac:dyDescent="0.25">
      <c r="B182" s="14"/>
      <c r="C182" s="14"/>
      <c r="H182" s="14"/>
      <c r="L182" s="10"/>
      <c r="M182" s="16"/>
      <c r="N182" s="16"/>
      <c r="O182" s="16"/>
      <c r="Q182" s="10"/>
      <c r="R182" s="16"/>
      <c r="S182" s="11"/>
      <c r="T182" s="11"/>
      <c r="V182" s="13"/>
      <c r="W182" s="87"/>
      <c r="X182" s="11"/>
    </row>
    <row r="183" spans="2:24" x14ac:dyDescent="0.25">
      <c r="B183" s="14"/>
      <c r="C183" s="14"/>
      <c r="H183" s="14"/>
      <c r="L183" s="10"/>
      <c r="M183" s="16"/>
      <c r="N183" s="16"/>
      <c r="O183" s="16"/>
      <c r="Q183" s="10"/>
      <c r="R183" s="16"/>
      <c r="S183" s="11"/>
      <c r="T183" s="11"/>
      <c r="V183" s="13"/>
      <c r="W183" s="87"/>
      <c r="X183" s="11"/>
    </row>
    <row r="184" spans="2:24" x14ac:dyDescent="0.25">
      <c r="B184" s="14"/>
      <c r="C184" s="14"/>
      <c r="H184" s="14"/>
      <c r="L184" s="10"/>
      <c r="M184" s="16"/>
      <c r="N184" s="16"/>
      <c r="O184" s="16"/>
      <c r="Q184" s="10"/>
      <c r="R184" s="16"/>
      <c r="S184" s="16"/>
      <c r="T184" s="16"/>
      <c r="V184" s="13"/>
      <c r="W184" s="87"/>
      <c r="X184" s="11"/>
    </row>
    <row r="185" spans="2:24" x14ac:dyDescent="0.25">
      <c r="B185" s="14"/>
      <c r="C185" s="14"/>
      <c r="H185" s="14"/>
      <c r="L185" s="13"/>
      <c r="M185" s="16"/>
      <c r="N185" s="16"/>
      <c r="O185" s="16"/>
      <c r="Q185" s="13"/>
      <c r="R185" s="16"/>
      <c r="S185" s="16"/>
      <c r="T185" s="16"/>
      <c r="V185" s="13"/>
      <c r="W185" s="87"/>
      <c r="X185" s="11"/>
    </row>
    <row r="186" spans="2:24" x14ac:dyDescent="0.25">
      <c r="B186" s="14"/>
      <c r="C186" s="14"/>
      <c r="H186" s="14"/>
      <c r="L186" s="13"/>
      <c r="M186" s="16"/>
      <c r="N186" s="16"/>
      <c r="O186" s="16"/>
      <c r="Q186" s="13"/>
      <c r="R186" s="16"/>
      <c r="S186" s="16"/>
      <c r="T186" s="16"/>
      <c r="V186" s="13"/>
      <c r="W186" s="87"/>
      <c r="X186" s="11"/>
    </row>
    <row r="187" spans="2:24" x14ac:dyDescent="0.25">
      <c r="B187" s="14"/>
      <c r="C187" s="14"/>
      <c r="H187" s="14"/>
      <c r="L187" s="13"/>
      <c r="M187" s="16"/>
      <c r="N187" s="16"/>
      <c r="O187" s="16"/>
      <c r="Q187" s="13"/>
      <c r="R187" s="16"/>
      <c r="S187" s="16"/>
      <c r="T187" s="16"/>
      <c r="V187" s="13"/>
      <c r="W187" s="87"/>
      <c r="X187" s="11"/>
    </row>
    <row r="188" spans="2:24" x14ac:dyDescent="0.25">
      <c r="B188" s="14"/>
      <c r="C188" s="14"/>
      <c r="H188" s="14"/>
      <c r="L188" s="13"/>
      <c r="M188" s="16"/>
      <c r="N188" s="16"/>
      <c r="O188" s="16"/>
      <c r="Q188" s="13"/>
      <c r="R188" s="16"/>
      <c r="S188" s="16"/>
      <c r="T188" s="16"/>
      <c r="V188" s="13"/>
      <c r="W188" s="87"/>
      <c r="X188" s="11"/>
    </row>
    <row r="189" spans="2:24" x14ac:dyDescent="0.25">
      <c r="B189" s="14"/>
      <c r="C189" s="14"/>
      <c r="H189" s="14"/>
      <c r="L189" s="13"/>
      <c r="M189" s="16"/>
      <c r="N189" s="16"/>
      <c r="O189" s="16"/>
      <c r="Q189" s="13"/>
      <c r="R189" s="16"/>
      <c r="S189" s="16"/>
      <c r="T189" s="16"/>
      <c r="V189" s="13"/>
      <c r="W189" s="87"/>
      <c r="X189" s="11"/>
    </row>
    <row r="190" spans="2:24" x14ac:dyDescent="0.25">
      <c r="B190" s="14"/>
      <c r="C190" s="14"/>
      <c r="H190" s="14"/>
      <c r="L190" s="13"/>
      <c r="M190" s="16"/>
      <c r="N190" s="16"/>
      <c r="O190" s="16"/>
      <c r="Q190" s="13"/>
      <c r="R190" s="16"/>
      <c r="S190" s="16"/>
      <c r="T190" s="16"/>
      <c r="V190" s="13"/>
      <c r="W190" s="87"/>
      <c r="X190" s="11"/>
    </row>
    <row r="191" spans="2:24" x14ac:dyDescent="0.25">
      <c r="B191" s="14"/>
      <c r="C191" s="14"/>
      <c r="H191" s="14"/>
      <c r="L191" s="13"/>
      <c r="M191" s="16"/>
      <c r="N191" s="16"/>
      <c r="O191" s="16"/>
      <c r="Q191" s="13"/>
      <c r="R191" s="16"/>
      <c r="S191" s="16"/>
      <c r="T191" s="16"/>
      <c r="V191" s="13"/>
      <c r="W191" s="87"/>
      <c r="X191" s="11"/>
    </row>
    <row r="192" spans="2:24" x14ac:dyDescent="0.25">
      <c r="B192" s="14"/>
      <c r="C192" s="14"/>
      <c r="H192" s="14"/>
      <c r="L192" s="13"/>
      <c r="M192" s="16"/>
      <c r="N192" s="16"/>
      <c r="O192" s="16"/>
      <c r="Q192" s="13"/>
      <c r="R192" s="16"/>
      <c r="S192" s="16"/>
      <c r="T192" s="16"/>
      <c r="V192" s="13"/>
      <c r="W192" s="87"/>
      <c r="X192" s="11"/>
    </row>
    <row r="193" spans="2:24" x14ac:dyDescent="0.25">
      <c r="B193" s="14"/>
      <c r="C193" s="14"/>
      <c r="H193" s="14"/>
      <c r="L193" s="13"/>
      <c r="M193" s="16"/>
      <c r="N193" s="16"/>
      <c r="O193" s="16"/>
      <c r="Q193" s="13"/>
      <c r="R193" s="16"/>
      <c r="S193" s="16"/>
      <c r="T193" s="16"/>
      <c r="V193" s="13"/>
      <c r="W193" s="87"/>
      <c r="X193" s="11"/>
    </row>
    <row r="194" spans="2:24" x14ac:dyDescent="0.25">
      <c r="B194" s="14"/>
      <c r="C194" s="14"/>
      <c r="H194" s="14"/>
      <c r="L194" s="13"/>
      <c r="M194" s="16"/>
      <c r="N194" s="16"/>
      <c r="O194" s="16"/>
      <c r="Q194" s="13"/>
      <c r="R194" s="16"/>
      <c r="S194" s="16"/>
      <c r="T194" s="16"/>
      <c r="V194" s="13"/>
      <c r="W194" s="87"/>
      <c r="X194" s="11"/>
    </row>
    <row r="195" spans="2:24" x14ac:dyDescent="0.25">
      <c r="B195" s="14"/>
      <c r="C195" s="14"/>
      <c r="H195" s="14"/>
      <c r="L195" s="13"/>
      <c r="M195" s="16"/>
      <c r="N195" s="16"/>
      <c r="O195" s="16"/>
      <c r="Q195" s="13"/>
      <c r="R195" s="16"/>
      <c r="S195" s="16"/>
      <c r="T195" s="16"/>
      <c r="V195" s="13"/>
      <c r="W195" s="87"/>
      <c r="X195" s="11"/>
    </row>
    <row r="196" spans="2:24" x14ac:dyDescent="0.25">
      <c r="B196" s="14"/>
      <c r="C196" s="14"/>
      <c r="H196" s="14"/>
      <c r="L196" s="13"/>
      <c r="M196" s="16"/>
      <c r="N196" s="16"/>
      <c r="O196" s="16"/>
      <c r="Q196" s="13"/>
      <c r="R196" s="16"/>
      <c r="S196" s="16"/>
      <c r="T196" s="16"/>
      <c r="V196" s="13"/>
      <c r="W196" s="87"/>
      <c r="X196" s="11"/>
    </row>
    <row r="197" spans="2:24" x14ac:dyDescent="0.25">
      <c r="B197" s="14"/>
      <c r="C197" s="14"/>
      <c r="H197" s="14"/>
      <c r="L197" s="13"/>
      <c r="M197" s="16"/>
      <c r="N197" s="16"/>
      <c r="O197" s="16"/>
      <c r="Q197" s="13"/>
      <c r="R197" s="16"/>
      <c r="S197" s="16"/>
      <c r="T197" s="16"/>
      <c r="V197" s="13"/>
      <c r="W197" s="87"/>
      <c r="X197" s="11"/>
    </row>
    <row r="198" spans="2:24" x14ac:dyDescent="0.25">
      <c r="B198" s="14"/>
      <c r="C198" s="14"/>
      <c r="H198" s="14"/>
      <c r="L198" s="13"/>
      <c r="M198" s="16"/>
      <c r="N198" s="16"/>
      <c r="O198" s="16"/>
      <c r="Q198" s="13"/>
      <c r="R198" s="16"/>
      <c r="S198" s="16"/>
      <c r="T198" s="16"/>
      <c r="V198" s="13"/>
      <c r="W198" s="87"/>
      <c r="X198" s="11"/>
    </row>
    <row r="199" spans="2:24" x14ac:dyDescent="0.25">
      <c r="B199" s="14"/>
      <c r="C199" s="14"/>
      <c r="H199" s="14"/>
      <c r="L199" s="13"/>
      <c r="M199" s="16"/>
      <c r="N199" s="16"/>
      <c r="O199" s="16"/>
      <c r="Q199" s="13"/>
      <c r="R199" s="16"/>
      <c r="S199" s="16"/>
      <c r="T199" s="16"/>
      <c r="V199" s="13"/>
      <c r="W199" s="87"/>
      <c r="X199" s="11"/>
    </row>
    <row r="200" spans="2:24" x14ac:dyDescent="0.25">
      <c r="B200" s="14"/>
      <c r="C200" s="14"/>
      <c r="H200" s="14"/>
      <c r="L200" s="13"/>
      <c r="M200" s="16"/>
      <c r="N200" s="16"/>
      <c r="O200" s="16"/>
      <c r="Q200" s="13"/>
      <c r="R200" s="16"/>
      <c r="S200" s="16"/>
      <c r="T200" s="16"/>
      <c r="V200" s="13"/>
      <c r="W200" s="87"/>
      <c r="X200" s="11"/>
    </row>
    <row r="201" spans="2:24" x14ac:dyDescent="0.25">
      <c r="B201" s="14"/>
      <c r="C201" s="14"/>
      <c r="H201" s="14"/>
      <c r="L201" s="13"/>
      <c r="M201" s="16"/>
      <c r="N201" s="16"/>
      <c r="O201" s="16"/>
      <c r="Q201" s="13"/>
      <c r="R201" s="16"/>
      <c r="S201" s="16"/>
      <c r="T201" s="16"/>
      <c r="V201" s="13"/>
      <c r="W201" s="87"/>
      <c r="X201" s="11"/>
    </row>
    <row r="202" spans="2:24" x14ac:dyDescent="0.25">
      <c r="B202" s="14"/>
      <c r="C202" s="14"/>
      <c r="H202" s="14"/>
      <c r="L202" s="13"/>
      <c r="M202" s="16"/>
      <c r="N202" s="16"/>
      <c r="O202" s="16"/>
      <c r="Q202" s="13"/>
      <c r="R202" s="16"/>
      <c r="S202" s="16"/>
      <c r="T202" s="16"/>
      <c r="V202" s="13"/>
      <c r="W202" s="87"/>
      <c r="X202" s="11"/>
    </row>
    <row r="203" spans="2:24" x14ac:dyDescent="0.25">
      <c r="B203" s="14"/>
      <c r="C203" s="14"/>
      <c r="H203" s="14"/>
      <c r="L203" s="13"/>
      <c r="M203" s="16"/>
      <c r="N203" s="16"/>
      <c r="O203" s="16"/>
      <c r="Q203" s="13"/>
      <c r="R203" s="16"/>
      <c r="S203" s="16"/>
      <c r="T203" s="16"/>
      <c r="V203" s="13"/>
      <c r="W203" s="87"/>
      <c r="X203" s="11"/>
    </row>
    <row r="204" spans="2:24" x14ac:dyDescent="0.25">
      <c r="B204" s="14"/>
      <c r="C204" s="14"/>
      <c r="H204" s="14"/>
      <c r="L204" s="13"/>
      <c r="M204" s="16"/>
      <c r="N204" s="16"/>
      <c r="O204" s="16"/>
      <c r="Q204" s="13"/>
      <c r="R204" s="16"/>
      <c r="S204" s="16"/>
      <c r="T204" s="16"/>
      <c r="V204" s="13"/>
      <c r="W204" s="87"/>
      <c r="X204" s="11"/>
    </row>
    <row r="205" spans="2:24" x14ac:dyDescent="0.25">
      <c r="B205" s="14"/>
      <c r="C205" s="14"/>
      <c r="H205" s="14"/>
      <c r="L205" s="13"/>
      <c r="M205" s="16"/>
      <c r="N205" s="16"/>
      <c r="O205" s="16"/>
      <c r="Q205" s="13"/>
      <c r="R205" s="16"/>
      <c r="S205" s="16"/>
      <c r="T205" s="16"/>
      <c r="V205" s="13"/>
      <c r="W205" s="87"/>
      <c r="X205" s="11"/>
    </row>
    <row r="206" spans="2:24" x14ac:dyDescent="0.25">
      <c r="B206" s="14"/>
      <c r="C206" s="14"/>
      <c r="H206" s="14"/>
      <c r="L206" s="13"/>
      <c r="M206" s="16"/>
      <c r="N206" s="16"/>
      <c r="O206" s="16"/>
      <c r="Q206" s="13"/>
      <c r="R206" s="16"/>
      <c r="S206" s="16"/>
      <c r="T206" s="16"/>
      <c r="V206" s="13"/>
      <c r="W206" s="87"/>
      <c r="X206" s="11"/>
    </row>
    <row r="207" spans="2:24" x14ac:dyDescent="0.25">
      <c r="B207" s="14"/>
      <c r="C207" s="14"/>
      <c r="H207" s="14"/>
      <c r="L207" s="13"/>
      <c r="M207" s="16"/>
      <c r="N207" s="16"/>
      <c r="O207" s="16"/>
      <c r="Q207" s="13"/>
      <c r="R207" s="16"/>
      <c r="S207" s="16"/>
      <c r="T207" s="16"/>
      <c r="V207" s="13"/>
      <c r="W207" s="87"/>
      <c r="X207" s="11"/>
    </row>
    <row r="208" spans="2:24" x14ac:dyDescent="0.25">
      <c r="B208" s="14"/>
      <c r="C208" s="14"/>
      <c r="H208" s="14"/>
      <c r="L208" s="13"/>
      <c r="M208" s="16"/>
      <c r="N208" s="16"/>
      <c r="O208" s="16"/>
      <c r="Q208" s="13"/>
      <c r="R208" s="16"/>
      <c r="S208" s="16"/>
      <c r="T208" s="16"/>
      <c r="V208" s="13"/>
      <c r="W208" s="87"/>
      <c r="X208" s="11"/>
    </row>
    <row r="209" spans="2:24" x14ac:dyDescent="0.25">
      <c r="B209" s="14"/>
      <c r="C209" s="14"/>
      <c r="H209" s="14"/>
      <c r="L209" s="13"/>
      <c r="M209" s="16"/>
      <c r="N209" s="16"/>
      <c r="O209" s="16"/>
      <c r="Q209" s="13"/>
      <c r="R209" s="16"/>
      <c r="S209" s="16"/>
      <c r="T209" s="16"/>
      <c r="V209" s="13"/>
      <c r="W209" s="87"/>
      <c r="X209" s="11"/>
    </row>
    <row r="210" spans="2:24" x14ac:dyDescent="0.25">
      <c r="B210" s="14"/>
      <c r="C210" s="14"/>
      <c r="H210" s="14"/>
      <c r="L210" s="13"/>
      <c r="M210" s="16"/>
      <c r="N210" s="16"/>
      <c r="O210" s="16"/>
      <c r="Q210" s="13"/>
      <c r="R210" s="16"/>
      <c r="S210" s="16"/>
      <c r="T210" s="16"/>
      <c r="V210" s="13"/>
      <c r="W210" s="87"/>
      <c r="X210" s="11"/>
    </row>
    <row r="211" spans="2:24" x14ac:dyDescent="0.25">
      <c r="B211" s="14"/>
      <c r="C211" s="14"/>
      <c r="H211" s="14"/>
      <c r="L211" s="13"/>
      <c r="M211" s="16"/>
      <c r="N211" s="16"/>
      <c r="O211" s="16"/>
      <c r="Q211" s="13"/>
      <c r="R211" s="16"/>
      <c r="S211" s="16"/>
      <c r="T211" s="16"/>
      <c r="V211" s="13"/>
      <c r="W211" s="87"/>
      <c r="X211" s="11"/>
    </row>
    <row r="212" spans="2:24" x14ac:dyDescent="0.25">
      <c r="B212" s="14"/>
      <c r="C212" s="14"/>
      <c r="H212" s="14"/>
      <c r="L212" s="13"/>
      <c r="M212" s="16"/>
      <c r="N212" s="16"/>
      <c r="O212" s="16"/>
      <c r="Q212" s="13"/>
      <c r="R212" s="16"/>
      <c r="S212" s="16"/>
      <c r="T212" s="16"/>
      <c r="V212" s="13"/>
      <c r="W212" s="87"/>
      <c r="X212" s="11"/>
    </row>
    <row r="213" spans="2:24" x14ac:dyDescent="0.25">
      <c r="B213" s="14"/>
      <c r="C213" s="14"/>
      <c r="H213" s="14"/>
      <c r="L213" s="13"/>
      <c r="M213" s="16"/>
      <c r="N213" s="16"/>
      <c r="O213" s="16"/>
      <c r="Q213" s="13"/>
      <c r="R213" s="16"/>
      <c r="S213" s="16"/>
      <c r="T213" s="16"/>
      <c r="V213" s="13"/>
      <c r="W213" s="87"/>
      <c r="X213" s="11"/>
    </row>
    <row r="214" spans="2:24" x14ac:dyDescent="0.25">
      <c r="B214" s="14"/>
      <c r="C214" s="14"/>
      <c r="H214" s="14"/>
      <c r="L214" s="13"/>
      <c r="M214" s="16"/>
      <c r="N214" s="16"/>
      <c r="O214" s="16"/>
      <c r="Q214" s="13"/>
      <c r="R214" s="16"/>
      <c r="S214" s="16"/>
      <c r="T214" s="16"/>
      <c r="V214" s="13"/>
      <c r="W214" s="87"/>
      <c r="X214" s="11"/>
    </row>
    <row r="215" spans="2:24" x14ac:dyDescent="0.25">
      <c r="B215" s="14"/>
      <c r="C215" s="14"/>
      <c r="H215" s="14"/>
      <c r="L215" s="13"/>
      <c r="M215" s="16"/>
      <c r="N215" s="16"/>
      <c r="O215" s="16"/>
      <c r="Q215" s="13"/>
      <c r="R215" s="16"/>
      <c r="S215" s="16"/>
      <c r="T215" s="16"/>
      <c r="V215" s="13"/>
      <c r="W215" s="87"/>
      <c r="X215" s="11"/>
    </row>
    <row r="216" spans="2:24" x14ac:dyDescent="0.25">
      <c r="B216" s="14"/>
      <c r="C216" s="14"/>
      <c r="H216" s="14"/>
      <c r="L216" s="13"/>
      <c r="M216" s="16"/>
      <c r="N216" s="16"/>
      <c r="O216" s="16"/>
      <c r="Q216" s="13"/>
      <c r="R216" s="16"/>
      <c r="S216" s="16"/>
      <c r="T216" s="16"/>
      <c r="V216" s="13"/>
      <c r="W216" s="87"/>
      <c r="X216" s="11"/>
    </row>
    <row r="217" spans="2:24" x14ac:dyDescent="0.25">
      <c r="B217" s="14"/>
      <c r="C217" s="14"/>
      <c r="H217" s="14"/>
      <c r="L217" s="13"/>
      <c r="M217" s="16"/>
      <c r="N217" s="16"/>
      <c r="O217" s="16"/>
      <c r="Q217" s="13"/>
      <c r="R217" s="16"/>
      <c r="S217" s="16"/>
      <c r="T217" s="16"/>
      <c r="V217" s="13"/>
      <c r="W217" s="87"/>
      <c r="X217" s="11"/>
    </row>
    <row r="218" spans="2:24" x14ac:dyDescent="0.25">
      <c r="B218" s="14"/>
      <c r="C218" s="14"/>
      <c r="H218" s="14"/>
      <c r="L218" s="13"/>
      <c r="M218" s="16"/>
      <c r="N218" s="16"/>
      <c r="O218" s="16"/>
      <c r="Q218" s="13"/>
      <c r="R218" s="16"/>
      <c r="S218" s="16"/>
      <c r="T218" s="16"/>
      <c r="V218" s="13"/>
      <c r="W218" s="87"/>
      <c r="X218" s="11"/>
    </row>
    <row r="219" spans="2:24" x14ac:dyDescent="0.25">
      <c r="B219" s="14"/>
      <c r="C219" s="14"/>
      <c r="H219" s="14"/>
      <c r="L219" s="13"/>
      <c r="M219" s="16"/>
      <c r="N219" s="16"/>
      <c r="O219" s="16"/>
      <c r="Q219" s="13"/>
      <c r="R219" s="16"/>
      <c r="S219" s="16"/>
      <c r="T219" s="16"/>
      <c r="V219" s="13"/>
      <c r="W219" s="87"/>
      <c r="X219" s="11"/>
    </row>
    <row r="220" spans="2:24" x14ac:dyDescent="0.25">
      <c r="B220" s="14"/>
      <c r="C220" s="14"/>
      <c r="H220" s="14"/>
      <c r="L220" s="13"/>
      <c r="M220" s="16"/>
      <c r="N220" s="16"/>
      <c r="O220" s="16"/>
      <c r="Q220" s="13"/>
      <c r="R220" s="16"/>
      <c r="S220" s="16"/>
      <c r="T220" s="16"/>
      <c r="V220" s="13"/>
      <c r="W220" s="87"/>
      <c r="X220" s="11"/>
    </row>
    <row r="221" spans="2:24" x14ac:dyDescent="0.25">
      <c r="B221" s="14"/>
      <c r="C221" s="14"/>
      <c r="H221" s="14"/>
      <c r="L221" s="13"/>
      <c r="M221" s="16"/>
      <c r="N221" s="16"/>
      <c r="O221" s="16"/>
      <c r="Q221" s="13"/>
      <c r="R221" s="16"/>
      <c r="S221" s="16"/>
      <c r="T221" s="16"/>
      <c r="V221" s="13"/>
      <c r="W221" s="87"/>
      <c r="X221" s="11"/>
    </row>
    <row r="222" spans="2:24" x14ac:dyDescent="0.25">
      <c r="B222" s="14"/>
      <c r="C222" s="14"/>
      <c r="H222" s="14"/>
      <c r="L222" s="13"/>
      <c r="M222" s="16"/>
      <c r="N222" s="16"/>
      <c r="O222" s="16"/>
      <c r="Q222" s="13"/>
      <c r="R222" s="16"/>
      <c r="S222" s="16"/>
      <c r="T222" s="16"/>
      <c r="V222" s="13"/>
      <c r="W222" s="87"/>
      <c r="X222" s="11"/>
    </row>
    <row r="223" spans="2:24" x14ac:dyDescent="0.25">
      <c r="B223" s="14"/>
      <c r="C223" s="14"/>
      <c r="H223" s="14"/>
      <c r="L223" s="13"/>
      <c r="M223" s="16"/>
      <c r="N223" s="16"/>
      <c r="O223" s="16"/>
      <c r="Q223" s="13"/>
      <c r="R223" s="16"/>
      <c r="S223" s="16"/>
      <c r="T223" s="16"/>
      <c r="V223" s="13"/>
      <c r="W223" s="87"/>
      <c r="X223" s="11"/>
    </row>
    <row r="224" spans="2:24" x14ac:dyDescent="0.25">
      <c r="B224" s="14"/>
      <c r="C224" s="14"/>
      <c r="H224" s="14"/>
      <c r="L224" s="13"/>
      <c r="M224" s="16"/>
      <c r="N224" s="16"/>
      <c r="O224" s="16"/>
      <c r="Q224" s="13"/>
      <c r="R224" s="16"/>
      <c r="S224" s="16"/>
      <c r="T224" s="16"/>
      <c r="V224" s="13"/>
      <c r="W224" s="87"/>
      <c r="X224" s="11"/>
    </row>
    <row r="225" spans="2:24" x14ac:dyDescent="0.25">
      <c r="B225" s="14"/>
      <c r="C225" s="14"/>
      <c r="H225" s="14"/>
      <c r="L225" s="13"/>
      <c r="M225" s="16"/>
      <c r="N225" s="16"/>
      <c r="O225" s="16"/>
      <c r="Q225" s="13"/>
      <c r="R225" s="16"/>
      <c r="S225" s="16"/>
      <c r="T225" s="16"/>
      <c r="V225" s="13"/>
      <c r="W225" s="87"/>
      <c r="X225" s="11"/>
    </row>
    <row r="226" spans="2:24" x14ac:dyDescent="0.25">
      <c r="B226" s="14"/>
      <c r="C226" s="14"/>
      <c r="H226" s="14"/>
      <c r="L226" s="13"/>
      <c r="M226" s="16"/>
      <c r="N226" s="16"/>
      <c r="O226" s="16"/>
      <c r="Q226" s="14"/>
      <c r="R226" s="15"/>
      <c r="S226" s="15"/>
      <c r="T226" s="15"/>
      <c r="V226" s="13"/>
      <c r="W226" s="87"/>
      <c r="X226" s="11"/>
    </row>
    <row r="227" spans="2:24" x14ac:dyDescent="0.25">
      <c r="B227" s="14"/>
      <c r="C227" s="14"/>
      <c r="H227" s="14"/>
      <c r="L227" s="13"/>
      <c r="M227" s="16"/>
      <c r="N227" s="16"/>
      <c r="O227" s="16"/>
      <c r="Q227" s="14"/>
      <c r="R227" s="15"/>
      <c r="S227" s="15"/>
      <c r="T227" s="15"/>
      <c r="V227" s="13"/>
      <c r="W227" s="87"/>
      <c r="X227" s="11"/>
    </row>
    <row r="228" spans="2:24" x14ac:dyDescent="0.25">
      <c r="B228" s="14"/>
      <c r="C228" s="14"/>
      <c r="H228" s="14"/>
      <c r="L228" s="13"/>
      <c r="M228" s="16"/>
      <c r="N228" s="16"/>
      <c r="O228" s="16"/>
      <c r="Q228" s="14"/>
      <c r="R228" s="15"/>
      <c r="S228" s="15"/>
      <c r="T228" s="15"/>
      <c r="V228" s="13"/>
      <c r="W228" s="87"/>
      <c r="X228" s="11"/>
    </row>
    <row r="229" spans="2:24" x14ac:dyDescent="0.25">
      <c r="B229" s="14"/>
      <c r="C229" s="14"/>
      <c r="H229" s="14"/>
      <c r="L229" s="13"/>
      <c r="M229" s="16"/>
      <c r="N229" s="16"/>
      <c r="O229" s="16"/>
      <c r="Q229" s="14"/>
      <c r="R229" s="15"/>
      <c r="S229" s="15"/>
      <c r="T229" s="15"/>
      <c r="V229" s="13"/>
      <c r="W229" s="87"/>
      <c r="X229" s="11"/>
    </row>
    <row r="230" spans="2:24" x14ac:dyDescent="0.25">
      <c r="B230" s="14"/>
      <c r="C230" s="14"/>
      <c r="H230" s="14"/>
      <c r="L230" s="13"/>
      <c r="M230" s="16"/>
      <c r="N230" s="16"/>
      <c r="O230" s="16"/>
      <c r="Q230" s="14"/>
      <c r="R230" s="15"/>
      <c r="S230" s="15"/>
      <c r="T230" s="15"/>
      <c r="V230" s="13"/>
      <c r="W230" s="87"/>
      <c r="X230" s="11"/>
    </row>
    <row r="231" spans="2:24" x14ac:dyDescent="0.25">
      <c r="B231" s="14"/>
      <c r="C231" s="14"/>
      <c r="H231" s="14"/>
      <c r="L231" s="13"/>
      <c r="M231" s="16"/>
      <c r="N231" s="16"/>
      <c r="O231" s="16"/>
      <c r="Q231" s="14"/>
      <c r="R231" s="15"/>
      <c r="S231" s="15"/>
      <c r="T231" s="15"/>
      <c r="V231" s="13"/>
      <c r="W231" s="87"/>
      <c r="X231" s="11"/>
    </row>
    <row r="232" spans="2:24" x14ac:dyDescent="0.25">
      <c r="B232" s="14"/>
      <c r="C232" s="14"/>
      <c r="H232" s="14"/>
      <c r="L232" s="13"/>
      <c r="M232" s="16"/>
      <c r="N232" s="16"/>
      <c r="O232" s="16"/>
      <c r="Q232" s="14"/>
      <c r="R232" s="15"/>
      <c r="S232" s="15"/>
      <c r="T232" s="15"/>
      <c r="V232" s="13"/>
      <c r="W232" s="87"/>
      <c r="X232" s="11"/>
    </row>
    <row r="233" spans="2:24" x14ac:dyDescent="0.25">
      <c r="B233" s="14"/>
      <c r="C233" s="14"/>
      <c r="H233" s="14"/>
      <c r="L233" s="13"/>
      <c r="M233" s="16"/>
      <c r="N233" s="16"/>
      <c r="O233" s="16"/>
      <c r="Q233" s="14"/>
      <c r="R233" s="15"/>
      <c r="S233" s="15"/>
      <c r="T233" s="15"/>
      <c r="V233" s="13"/>
      <c r="W233" s="87"/>
      <c r="X233" s="11"/>
    </row>
    <row r="234" spans="2:24" x14ac:dyDescent="0.25">
      <c r="B234" s="14"/>
      <c r="C234" s="14"/>
      <c r="H234" s="14"/>
      <c r="L234" s="13"/>
      <c r="M234" s="16"/>
      <c r="N234" s="16"/>
      <c r="O234" s="16"/>
      <c r="Q234" s="14"/>
      <c r="R234" s="15"/>
      <c r="S234" s="15"/>
      <c r="T234" s="15"/>
      <c r="V234" s="13"/>
      <c r="W234" s="87"/>
      <c r="X234" s="11"/>
    </row>
    <row r="235" spans="2:24" x14ac:dyDescent="0.25">
      <c r="B235" s="14"/>
      <c r="C235" s="14"/>
      <c r="H235" s="14"/>
      <c r="L235" s="13"/>
      <c r="M235" s="16"/>
      <c r="N235" s="16"/>
      <c r="O235" s="16"/>
      <c r="Q235" s="14"/>
      <c r="R235" s="15"/>
      <c r="S235" s="15"/>
      <c r="T235" s="15"/>
      <c r="V235" s="13"/>
      <c r="W235" s="87"/>
      <c r="X235" s="11"/>
    </row>
    <row r="236" spans="2:24" x14ac:dyDescent="0.25">
      <c r="B236" s="14"/>
      <c r="C236" s="14"/>
      <c r="H236" s="14"/>
      <c r="L236" s="13"/>
      <c r="M236" s="16"/>
      <c r="N236" s="16"/>
      <c r="O236" s="16"/>
      <c r="Q236" s="14"/>
      <c r="R236" s="15"/>
      <c r="S236" s="15"/>
      <c r="T236" s="15"/>
      <c r="V236" s="13"/>
      <c r="W236" s="87"/>
      <c r="X236" s="11"/>
    </row>
    <row r="237" spans="2:24" x14ac:dyDescent="0.25">
      <c r="B237" s="14"/>
      <c r="C237" s="14"/>
      <c r="H237" s="14"/>
      <c r="L237" s="13"/>
      <c r="M237" s="16"/>
      <c r="N237" s="16"/>
      <c r="O237" s="16"/>
      <c r="Q237" s="14"/>
      <c r="R237" s="15"/>
      <c r="S237" s="15"/>
      <c r="T237" s="15"/>
      <c r="V237" s="13"/>
      <c r="W237" s="87"/>
      <c r="X237" s="11"/>
    </row>
    <row r="238" spans="2:24" x14ac:dyDescent="0.25">
      <c r="B238" s="14"/>
      <c r="C238" s="14"/>
      <c r="H238" s="14"/>
      <c r="L238" s="13"/>
      <c r="M238" s="16"/>
      <c r="N238" s="16"/>
      <c r="O238" s="16"/>
      <c r="Q238" s="14"/>
      <c r="R238" s="15"/>
      <c r="S238" s="15"/>
      <c r="T238" s="15"/>
      <c r="V238" s="13"/>
      <c r="W238" s="87"/>
      <c r="X238" s="11"/>
    </row>
    <row r="239" spans="2:24" x14ac:dyDescent="0.25">
      <c r="B239" s="14"/>
      <c r="C239" s="14"/>
      <c r="H239" s="14"/>
      <c r="L239" s="13"/>
      <c r="M239" s="16"/>
      <c r="N239" s="16"/>
      <c r="O239" s="16"/>
      <c r="Q239" s="14"/>
      <c r="R239" s="15"/>
      <c r="S239" s="15"/>
      <c r="T239" s="15"/>
      <c r="V239" s="13"/>
      <c r="W239" s="87"/>
      <c r="X239" s="11"/>
    </row>
    <row r="240" spans="2:24" x14ac:dyDescent="0.25">
      <c r="B240" s="14"/>
      <c r="C240" s="14"/>
      <c r="H240" s="14"/>
      <c r="L240" s="13"/>
      <c r="M240" s="16"/>
      <c r="N240" s="16"/>
      <c r="O240" s="16"/>
      <c r="Q240" s="14"/>
      <c r="R240" s="15"/>
      <c r="S240" s="15"/>
      <c r="T240" s="15"/>
      <c r="V240" s="13"/>
      <c r="W240" s="87"/>
      <c r="X240" s="11"/>
    </row>
    <row r="241" spans="2:24" x14ac:dyDescent="0.25">
      <c r="B241" s="14"/>
      <c r="C241" s="14"/>
      <c r="H241" s="14"/>
      <c r="L241" s="13"/>
      <c r="M241" s="16"/>
      <c r="N241" s="16"/>
      <c r="O241" s="16"/>
      <c r="Q241" s="14"/>
      <c r="R241" s="15"/>
      <c r="S241" s="15"/>
      <c r="T241" s="15"/>
      <c r="V241" s="13"/>
      <c r="W241" s="87"/>
      <c r="X241" s="11"/>
    </row>
    <row r="242" spans="2:24" x14ac:dyDescent="0.25">
      <c r="B242" s="14"/>
      <c r="C242" s="14"/>
      <c r="H242" s="14"/>
      <c r="L242" s="13"/>
      <c r="M242" s="16"/>
      <c r="N242" s="16"/>
      <c r="O242" s="16"/>
      <c r="Q242" s="14"/>
      <c r="R242" s="15"/>
      <c r="S242" s="15"/>
      <c r="T242" s="15"/>
      <c r="V242" s="13"/>
      <c r="W242" s="87"/>
      <c r="X242" s="11"/>
    </row>
    <row r="243" spans="2:24" x14ac:dyDescent="0.25">
      <c r="B243" s="14"/>
      <c r="C243" s="14"/>
      <c r="H243" s="14"/>
      <c r="L243" s="13"/>
      <c r="M243" s="16"/>
      <c r="N243" s="16"/>
      <c r="O243" s="16"/>
      <c r="Q243" s="14"/>
      <c r="R243" s="15"/>
      <c r="S243" s="15"/>
      <c r="T243" s="15"/>
      <c r="V243" s="13"/>
      <c r="W243" s="87"/>
      <c r="X243" s="11"/>
    </row>
    <row r="244" spans="2:24" x14ac:dyDescent="0.25">
      <c r="B244" s="14"/>
      <c r="C244" s="14"/>
      <c r="H244" s="14"/>
      <c r="L244" s="13"/>
      <c r="M244" s="16"/>
      <c r="N244" s="16"/>
      <c r="O244" s="16"/>
      <c r="Q244" s="14"/>
      <c r="R244" s="15"/>
      <c r="S244" s="15"/>
      <c r="T244" s="15"/>
      <c r="V244" s="13"/>
      <c r="W244" s="87"/>
      <c r="X244" s="11"/>
    </row>
    <row r="245" spans="2:24" x14ac:dyDescent="0.25">
      <c r="B245" s="14"/>
      <c r="C245" s="14"/>
      <c r="H245" s="14"/>
      <c r="L245" s="13"/>
      <c r="M245" s="16"/>
      <c r="N245" s="16"/>
      <c r="O245" s="16"/>
      <c r="Q245" s="14"/>
      <c r="R245" s="15"/>
      <c r="S245" s="15"/>
      <c r="T245" s="15"/>
      <c r="V245" s="13"/>
      <c r="W245" s="87"/>
      <c r="X245" s="11"/>
    </row>
    <row r="246" spans="2:24" x14ac:dyDescent="0.25">
      <c r="B246" s="14"/>
      <c r="C246" s="14"/>
      <c r="H246" s="14"/>
      <c r="L246" s="13"/>
      <c r="M246" s="16"/>
      <c r="N246" s="16"/>
      <c r="O246" s="16"/>
      <c r="Q246" s="14"/>
      <c r="R246" s="15"/>
      <c r="S246" s="15"/>
      <c r="T246" s="15"/>
      <c r="V246" s="13"/>
      <c r="W246" s="87"/>
      <c r="X246" s="11"/>
    </row>
    <row r="247" spans="2:24" x14ac:dyDescent="0.25">
      <c r="B247" s="14"/>
      <c r="C247" s="14"/>
      <c r="H247" s="14"/>
      <c r="L247" s="13"/>
      <c r="M247" s="13"/>
      <c r="N247" s="16"/>
      <c r="O247" s="13"/>
      <c r="Q247" s="14"/>
      <c r="R247" s="14"/>
      <c r="S247" s="15"/>
      <c r="T247" s="14"/>
      <c r="V247" s="13"/>
      <c r="W247" s="87"/>
      <c r="X247" s="11"/>
    </row>
    <row r="248" spans="2:24" x14ac:dyDescent="0.25">
      <c r="B248" s="14"/>
      <c r="C248" s="14"/>
      <c r="H248" s="14"/>
      <c r="L248" s="13"/>
      <c r="M248" s="13"/>
      <c r="N248" s="16"/>
      <c r="O248" s="13"/>
      <c r="Q248" s="14"/>
      <c r="R248" s="14"/>
      <c r="S248" s="15"/>
      <c r="T248" s="14"/>
      <c r="V248" s="13"/>
      <c r="W248" s="87"/>
      <c r="X248" s="11"/>
    </row>
    <row r="249" spans="2:24" x14ac:dyDescent="0.25">
      <c r="B249" s="14"/>
      <c r="C249" s="14"/>
      <c r="H249" s="14"/>
      <c r="L249" s="13"/>
      <c r="M249" s="13"/>
      <c r="N249" s="16"/>
      <c r="O249" s="13"/>
      <c r="Q249" s="14"/>
      <c r="R249" s="14"/>
      <c r="S249" s="15"/>
      <c r="T249" s="14"/>
      <c r="V249" s="13"/>
      <c r="W249" s="87"/>
      <c r="X249" s="11"/>
    </row>
    <row r="250" spans="2:24" x14ac:dyDescent="0.25">
      <c r="B250" s="14"/>
      <c r="C250" s="14"/>
      <c r="H250" s="14"/>
      <c r="L250" s="13"/>
      <c r="M250" s="13"/>
      <c r="N250" s="16"/>
      <c r="O250" s="13"/>
      <c r="Q250" s="14"/>
      <c r="R250" s="14"/>
      <c r="S250" s="15"/>
      <c r="T250" s="14"/>
      <c r="V250" s="13"/>
      <c r="W250" s="87"/>
      <c r="X250" s="11"/>
    </row>
    <row r="251" spans="2:24" x14ac:dyDescent="0.25">
      <c r="B251" s="14"/>
      <c r="C251" s="14"/>
      <c r="H251" s="14"/>
      <c r="L251" s="13"/>
      <c r="M251" s="13"/>
      <c r="N251" s="16"/>
      <c r="O251" s="13"/>
      <c r="Q251" s="14"/>
      <c r="R251" s="14"/>
      <c r="S251" s="15"/>
      <c r="T251" s="14"/>
      <c r="V251" s="13"/>
      <c r="W251" s="87"/>
      <c r="X251" s="11"/>
    </row>
    <row r="252" spans="2:24" x14ac:dyDescent="0.25">
      <c r="B252" s="14"/>
      <c r="C252" s="14"/>
      <c r="H252" s="14"/>
      <c r="L252" s="13"/>
      <c r="M252" s="13"/>
      <c r="N252" s="16"/>
      <c r="O252" s="13"/>
      <c r="Q252" s="14"/>
      <c r="R252" s="14"/>
      <c r="S252" s="15"/>
      <c r="T252" s="14"/>
      <c r="V252" s="13"/>
      <c r="W252" s="87"/>
      <c r="X252" s="11"/>
    </row>
    <row r="253" spans="2:24" x14ac:dyDescent="0.25">
      <c r="B253" s="14"/>
      <c r="C253" s="14"/>
      <c r="H253" s="14"/>
      <c r="L253" s="13"/>
      <c r="M253" s="13"/>
      <c r="N253" s="16"/>
      <c r="O253" s="13"/>
      <c r="Q253" s="14"/>
      <c r="R253" s="14"/>
      <c r="S253" s="15"/>
      <c r="T253" s="14"/>
      <c r="V253" s="13"/>
      <c r="W253" s="87"/>
      <c r="X253" s="11"/>
    </row>
    <row r="254" spans="2:24" x14ac:dyDescent="0.25">
      <c r="B254" s="14"/>
      <c r="C254" s="14"/>
      <c r="H254" s="14"/>
      <c r="L254" s="13"/>
      <c r="M254" s="13"/>
      <c r="N254" s="16"/>
      <c r="O254" s="13"/>
      <c r="Q254" s="14"/>
      <c r="R254" s="14"/>
      <c r="S254" s="15"/>
      <c r="T254" s="14"/>
      <c r="V254" s="13"/>
      <c r="W254" s="87"/>
      <c r="X254" s="11"/>
    </row>
    <row r="255" spans="2:24" x14ac:dyDescent="0.25">
      <c r="B255" s="14"/>
      <c r="C255" s="14"/>
      <c r="H255" s="14"/>
      <c r="L255" s="13"/>
      <c r="M255" s="13"/>
      <c r="N255" s="16"/>
      <c r="O255" s="13"/>
      <c r="Q255" s="14"/>
      <c r="R255" s="14"/>
      <c r="S255" s="15"/>
      <c r="T255" s="14"/>
      <c r="V255" s="13"/>
      <c r="W255" s="87"/>
      <c r="X255" s="11"/>
    </row>
    <row r="256" spans="2:24" x14ac:dyDescent="0.25">
      <c r="B256" s="14"/>
      <c r="C256" s="14"/>
      <c r="H256" s="14"/>
      <c r="L256" s="13"/>
      <c r="M256" s="13"/>
      <c r="N256" s="16"/>
      <c r="O256" s="13"/>
      <c r="Q256" s="14"/>
      <c r="R256" s="14"/>
      <c r="S256" s="15"/>
      <c r="T256" s="14"/>
      <c r="V256" s="13"/>
      <c r="W256" s="87"/>
      <c r="X256" s="11"/>
    </row>
    <row r="257" spans="2:24" x14ac:dyDescent="0.25">
      <c r="B257" s="14"/>
      <c r="C257" s="14"/>
      <c r="H257" s="14"/>
      <c r="L257" s="13"/>
      <c r="M257" s="13"/>
      <c r="N257" s="16"/>
      <c r="O257" s="13"/>
      <c r="Q257" s="14"/>
      <c r="R257" s="14"/>
      <c r="S257" s="15"/>
      <c r="T257" s="14"/>
      <c r="V257" s="13"/>
      <c r="W257" s="87"/>
      <c r="X257" s="11"/>
    </row>
    <row r="258" spans="2:24" x14ac:dyDescent="0.25">
      <c r="B258" s="14"/>
      <c r="C258" s="14"/>
      <c r="H258" s="14"/>
      <c r="L258" s="13"/>
      <c r="M258" s="13"/>
      <c r="N258" s="16"/>
      <c r="O258" s="13"/>
      <c r="Q258" s="14"/>
      <c r="R258" s="14"/>
      <c r="S258" s="15"/>
      <c r="T258" s="14"/>
      <c r="V258" s="13"/>
      <c r="W258" s="87"/>
      <c r="X258" s="11"/>
    </row>
    <row r="259" spans="2:24" x14ac:dyDescent="0.25">
      <c r="B259" s="14"/>
      <c r="C259" s="14"/>
      <c r="H259" s="14"/>
      <c r="L259" s="13"/>
      <c r="M259" s="13"/>
      <c r="N259" s="16"/>
      <c r="O259" s="13"/>
      <c r="Q259" s="14"/>
      <c r="R259" s="14"/>
      <c r="S259" s="15"/>
      <c r="T259" s="14"/>
      <c r="V259" s="13"/>
      <c r="W259" s="87"/>
      <c r="X259" s="11"/>
    </row>
    <row r="260" spans="2:24" x14ac:dyDescent="0.25">
      <c r="B260" s="14"/>
      <c r="C260" s="14"/>
      <c r="H260" s="14"/>
      <c r="L260" s="13"/>
      <c r="M260" s="13"/>
      <c r="N260" s="16"/>
      <c r="O260" s="13"/>
      <c r="Q260" s="14"/>
      <c r="R260" s="14"/>
      <c r="S260" s="15"/>
      <c r="T260" s="14"/>
      <c r="V260" s="13"/>
      <c r="W260" s="87"/>
      <c r="X260" s="11"/>
    </row>
    <row r="261" spans="2:24" x14ac:dyDescent="0.25">
      <c r="B261" s="14"/>
      <c r="C261" s="14"/>
      <c r="H261" s="14"/>
      <c r="L261" s="13"/>
      <c r="M261" s="13"/>
      <c r="N261" s="16"/>
      <c r="O261" s="13"/>
      <c r="Q261" s="14"/>
      <c r="R261" s="14"/>
      <c r="S261" s="15"/>
      <c r="T261" s="14"/>
      <c r="V261" s="13"/>
      <c r="W261" s="87"/>
      <c r="X261" s="11"/>
    </row>
    <row r="262" spans="2:24" x14ac:dyDescent="0.25">
      <c r="B262" s="14"/>
      <c r="C262" s="14"/>
      <c r="H262" s="14"/>
      <c r="L262" s="13"/>
      <c r="M262" s="13"/>
      <c r="N262" s="16"/>
      <c r="O262" s="13"/>
      <c r="Q262" s="14"/>
      <c r="R262" s="14"/>
      <c r="S262" s="15"/>
      <c r="T262" s="14"/>
      <c r="V262" s="13"/>
      <c r="W262" s="87"/>
      <c r="X262" s="11"/>
    </row>
    <row r="263" spans="2:24" x14ac:dyDescent="0.25">
      <c r="B263" s="14"/>
      <c r="C263" s="14"/>
      <c r="H263" s="14"/>
      <c r="L263" s="13"/>
      <c r="M263" s="13"/>
      <c r="N263" s="16"/>
      <c r="O263" s="13"/>
      <c r="Q263" s="14"/>
      <c r="R263" s="14"/>
      <c r="S263" s="15"/>
      <c r="T263" s="14"/>
      <c r="V263" s="13"/>
      <c r="W263" s="87"/>
      <c r="X263" s="11"/>
    </row>
    <row r="264" spans="2:24" x14ac:dyDescent="0.25">
      <c r="B264" s="14"/>
      <c r="C264" s="14"/>
      <c r="H264" s="14"/>
      <c r="L264" s="13"/>
      <c r="M264" s="13"/>
      <c r="N264" s="16"/>
      <c r="O264" s="13"/>
      <c r="Q264" s="14"/>
      <c r="R264" s="14"/>
      <c r="S264" s="15"/>
      <c r="T264" s="14"/>
      <c r="V264" s="13"/>
      <c r="W264" s="87"/>
      <c r="X264" s="11"/>
    </row>
    <row r="265" spans="2:24" x14ac:dyDescent="0.25">
      <c r="B265" s="14"/>
      <c r="C265" s="14"/>
      <c r="H265" s="14"/>
      <c r="L265" s="13"/>
      <c r="M265" s="13"/>
      <c r="N265" s="16"/>
      <c r="O265" s="13"/>
      <c r="Q265" s="14"/>
      <c r="R265" s="14"/>
      <c r="S265" s="15"/>
      <c r="T265" s="14"/>
      <c r="V265" s="13"/>
      <c r="W265" s="87"/>
      <c r="X265" s="11"/>
    </row>
    <row r="266" spans="2:24" x14ac:dyDescent="0.25">
      <c r="B266" s="14"/>
      <c r="C266" s="14"/>
      <c r="H266" s="14"/>
      <c r="L266" s="13"/>
      <c r="M266" s="13"/>
      <c r="N266" s="16"/>
      <c r="O266" s="13"/>
      <c r="Q266" s="14"/>
      <c r="R266" s="14"/>
      <c r="S266" s="15"/>
      <c r="T266" s="14"/>
      <c r="V266" s="13"/>
      <c r="W266" s="87"/>
      <c r="X266" s="11"/>
    </row>
    <row r="267" spans="2:24" x14ac:dyDescent="0.25">
      <c r="B267" s="14"/>
      <c r="C267" s="14"/>
      <c r="H267" s="14"/>
      <c r="L267" s="13"/>
      <c r="M267" s="13"/>
      <c r="N267" s="16"/>
      <c r="O267" s="13"/>
      <c r="Q267" s="14"/>
      <c r="R267" s="14"/>
      <c r="S267" s="15"/>
      <c r="T267" s="14"/>
      <c r="V267" s="13"/>
      <c r="W267" s="87"/>
      <c r="X267" s="11"/>
    </row>
    <row r="268" spans="2:24" x14ac:dyDescent="0.25">
      <c r="B268" s="14"/>
      <c r="C268" s="14"/>
      <c r="H268" s="14"/>
      <c r="L268" s="13"/>
      <c r="M268" s="13"/>
      <c r="N268" s="16"/>
      <c r="O268" s="13"/>
      <c r="Q268" s="14"/>
      <c r="R268" s="14"/>
      <c r="S268" s="15"/>
      <c r="T268" s="14"/>
      <c r="V268" s="13"/>
      <c r="W268" s="87"/>
      <c r="X268" s="11"/>
    </row>
    <row r="269" spans="2:24" x14ac:dyDescent="0.25">
      <c r="B269" s="14"/>
      <c r="C269" s="14"/>
      <c r="H269" s="14"/>
      <c r="L269" s="13"/>
      <c r="M269" s="13"/>
      <c r="N269" s="16"/>
      <c r="O269" s="13"/>
      <c r="Q269" s="14"/>
      <c r="R269" s="14"/>
      <c r="S269" s="15"/>
      <c r="T269" s="14"/>
      <c r="V269" s="13"/>
      <c r="W269" s="87"/>
      <c r="X269" s="11"/>
    </row>
    <row r="270" spans="2:24" x14ac:dyDescent="0.25">
      <c r="B270" s="14"/>
      <c r="C270" s="14"/>
      <c r="H270" s="14"/>
      <c r="L270" s="13"/>
      <c r="M270" s="13"/>
      <c r="N270" s="16"/>
      <c r="O270" s="13"/>
      <c r="Q270" s="14"/>
      <c r="R270" s="14"/>
      <c r="S270" s="15"/>
      <c r="T270" s="14"/>
      <c r="V270" s="13"/>
      <c r="W270" s="87"/>
      <c r="X270" s="11"/>
    </row>
    <row r="271" spans="2:24" x14ac:dyDescent="0.25">
      <c r="B271" s="14"/>
      <c r="C271" s="14"/>
      <c r="H271" s="14"/>
      <c r="L271" s="13"/>
      <c r="M271" s="13"/>
      <c r="N271" s="16"/>
      <c r="O271" s="13"/>
      <c r="Q271" s="14"/>
      <c r="R271" s="14"/>
      <c r="S271" s="15"/>
      <c r="T271" s="14"/>
      <c r="V271" s="13"/>
      <c r="W271" s="87"/>
      <c r="X271" s="11"/>
    </row>
    <row r="272" spans="2:24" x14ac:dyDescent="0.25">
      <c r="B272" s="14"/>
      <c r="C272" s="14"/>
      <c r="H272" s="14"/>
      <c r="L272" s="13"/>
      <c r="M272" s="13"/>
      <c r="N272" s="16"/>
      <c r="O272" s="13"/>
      <c r="Q272" s="14"/>
      <c r="R272" s="14"/>
      <c r="S272" s="15"/>
      <c r="T272" s="14"/>
      <c r="V272" s="13"/>
      <c r="W272" s="87"/>
      <c r="X272" s="11"/>
    </row>
    <row r="273" spans="2:24" x14ac:dyDescent="0.25">
      <c r="B273" s="14"/>
      <c r="C273" s="14"/>
      <c r="H273" s="14"/>
      <c r="L273" s="13"/>
      <c r="M273" s="13"/>
      <c r="N273" s="16"/>
      <c r="O273" s="13"/>
      <c r="Q273" s="14"/>
      <c r="R273" s="14"/>
      <c r="S273" s="15"/>
      <c r="T273" s="14"/>
      <c r="V273" s="13"/>
      <c r="W273" s="87"/>
      <c r="X273" s="11"/>
    </row>
    <row r="274" spans="2:24" x14ac:dyDescent="0.25">
      <c r="B274" s="14"/>
      <c r="C274" s="14"/>
      <c r="H274" s="14"/>
      <c r="L274" s="13"/>
      <c r="M274" s="13"/>
      <c r="N274" s="16"/>
      <c r="O274" s="13"/>
      <c r="Q274" s="14"/>
      <c r="R274" s="14"/>
      <c r="S274" s="15"/>
      <c r="T274" s="14"/>
      <c r="V274" s="13"/>
      <c r="W274" s="87"/>
      <c r="X274" s="11"/>
    </row>
    <row r="275" spans="2:24" x14ac:dyDescent="0.25">
      <c r="B275" s="14"/>
      <c r="C275" s="14"/>
      <c r="H275" s="14"/>
      <c r="L275" s="13"/>
      <c r="M275" s="13"/>
      <c r="N275" s="16"/>
      <c r="O275" s="13"/>
      <c r="Q275" s="14"/>
      <c r="R275" s="14"/>
      <c r="S275" s="15"/>
      <c r="T275" s="14"/>
      <c r="V275" s="13"/>
      <c r="W275" s="87"/>
      <c r="X275" s="11"/>
    </row>
    <row r="276" spans="2:24" x14ac:dyDescent="0.25">
      <c r="B276" s="14"/>
      <c r="C276" s="14"/>
      <c r="H276" s="14"/>
      <c r="L276" s="13"/>
      <c r="M276" s="13"/>
      <c r="N276" s="16"/>
      <c r="O276" s="13"/>
      <c r="Q276" s="14"/>
      <c r="R276" s="14"/>
      <c r="S276" s="15"/>
      <c r="T276" s="14"/>
      <c r="V276" s="13"/>
      <c r="W276" s="87"/>
      <c r="X276" s="11"/>
    </row>
    <row r="277" spans="2:24" x14ac:dyDescent="0.25">
      <c r="B277" s="14"/>
      <c r="C277" s="14"/>
      <c r="H277" s="14"/>
      <c r="L277" s="13"/>
      <c r="M277" s="13"/>
      <c r="N277" s="16"/>
      <c r="O277" s="13"/>
      <c r="Q277" s="14"/>
      <c r="R277" s="14"/>
      <c r="S277" s="15"/>
      <c r="T277" s="14"/>
      <c r="V277" s="13"/>
      <c r="W277" s="87"/>
      <c r="X277" s="11"/>
    </row>
    <row r="278" spans="2:24" x14ac:dyDescent="0.25">
      <c r="B278" s="14"/>
      <c r="C278" s="14"/>
      <c r="H278" s="14"/>
      <c r="L278" s="13"/>
      <c r="M278" s="13"/>
      <c r="N278" s="16"/>
      <c r="O278" s="13"/>
      <c r="Q278" s="14"/>
      <c r="R278" s="14"/>
      <c r="S278" s="15"/>
      <c r="T278" s="14"/>
      <c r="V278" s="13"/>
      <c r="W278" s="87"/>
      <c r="X278" s="11"/>
    </row>
    <row r="279" spans="2:24" x14ac:dyDescent="0.25">
      <c r="B279" s="14"/>
      <c r="C279" s="14"/>
      <c r="H279" s="14"/>
      <c r="L279" s="13"/>
      <c r="M279" s="13"/>
      <c r="N279" s="16"/>
      <c r="O279" s="13"/>
      <c r="Q279" s="14"/>
      <c r="R279" s="14"/>
      <c r="S279" s="15"/>
      <c r="T279" s="14"/>
      <c r="V279" s="13"/>
      <c r="W279" s="87"/>
      <c r="X279" s="11"/>
    </row>
    <row r="280" spans="2:24" x14ac:dyDescent="0.25">
      <c r="B280" s="14"/>
      <c r="C280" s="14"/>
      <c r="H280" s="14"/>
      <c r="L280" s="13"/>
      <c r="M280" s="13"/>
      <c r="N280" s="16"/>
      <c r="O280" s="13"/>
      <c r="Q280" s="14"/>
      <c r="R280" s="14"/>
      <c r="S280" s="15"/>
      <c r="T280" s="14"/>
      <c r="V280" s="13"/>
      <c r="W280" s="87"/>
      <c r="X280" s="11"/>
    </row>
    <row r="281" spans="2:24" x14ac:dyDescent="0.25">
      <c r="B281" s="14"/>
      <c r="C281" s="14"/>
      <c r="H281" s="14"/>
      <c r="L281" s="13"/>
      <c r="M281" s="13"/>
      <c r="N281" s="16"/>
      <c r="O281" s="13"/>
      <c r="Q281" s="14"/>
      <c r="R281" s="14"/>
      <c r="S281" s="15"/>
      <c r="T281" s="14"/>
      <c r="V281" s="13"/>
      <c r="W281" s="87"/>
      <c r="X281" s="11"/>
    </row>
    <row r="282" spans="2:24" x14ac:dyDescent="0.25">
      <c r="B282" s="14"/>
      <c r="C282" s="14"/>
      <c r="H282" s="14"/>
      <c r="L282" s="13"/>
      <c r="M282" s="13"/>
      <c r="N282" s="16"/>
      <c r="O282" s="13"/>
      <c r="Q282" s="14"/>
      <c r="R282" s="14"/>
      <c r="S282" s="15"/>
      <c r="T282" s="14"/>
      <c r="V282" s="13"/>
      <c r="W282" s="87"/>
      <c r="X282" s="11"/>
    </row>
    <row r="283" spans="2:24" x14ac:dyDescent="0.25">
      <c r="B283" s="14"/>
      <c r="C283" s="14"/>
      <c r="H283" s="14"/>
      <c r="L283" s="13"/>
      <c r="M283" s="13"/>
      <c r="N283" s="16"/>
      <c r="O283" s="13"/>
      <c r="Q283" s="14"/>
      <c r="R283" s="14"/>
      <c r="S283" s="15"/>
      <c r="T283" s="14"/>
      <c r="V283" s="13"/>
      <c r="W283" s="87"/>
      <c r="X283" s="11"/>
    </row>
    <row r="284" spans="2:24" x14ac:dyDescent="0.25">
      <c r="B284" s="14"/>
      <c r="C284" s="14"/>
      <c r="H284" s="14"/>
      <c r="L284" s="13"/>
      <c r="M284" s="13"/>
      <c r="N284" s="16"/>
      <c r="O284" s="13"/>
      <c r="Q284" s="14"/>
      <c r="R284" s="14"/>
      <c r="S284" s="15"/>
      <c r="T284" s="14"/>
      <c r="V284" s="13"/>
      <c r="W284" s="87"/>
      <c r="X284" s="11"/>
    </row>
    <row r="285" spans="2:24" x14ac:dyDescent="0.25">
      <c r="B285" s="14"/>
      <c r="C285" s="14"/>
      <c r="H285" s="14"/>
      <c r="L285" s="13"/>
      <c r="M285" s="13"/>
      <c r="N285" s="16"/>
      <c r="O285" s="13"/>
      <c r="Q285" s="14"/>
      <c r="R285" s="14"/>
      <c r="S285" s="15"/>
      <c r="T285" s="14"/>
      <c r="V285" s="13"/>
      <c r="W285" s="87"/>
      <c r="X285" s="11"/>
    </row>
    <row r="286" spans="2:24" x14ac:dyDescent="0.25">
      <c r="B286" s="14"/>
      <c r="C286" s="14"/>
      <c r="H286" s="14"/>
      <c r="L286" s="13"/>
      <c r="M286" s="13"/>
      <c r="N286" s="16"/>
      <c r="O286" s="13"/>
      <c r="Q286" s="14"/>
      <c r="R286" s="14"/>
      <c r="S286" s="15"/>
      <c r="T286" s="14"/>
      <c r="V286" s="13"/>
      <c r="W286" s="87"/>
      <c r="X286" s="11"/>
    </row>
    <row r="287" spans="2:24" x14ac:dyDescent="0.25">
      <c r="B287" s="14"/>
      <c r="C287" s="14"/>
      <c r="H287" s="14"/>
      <c r="L287" s="13"/>
      <c r="M287" s="13"/>
      <c r="N287" s="16"/>
      <c r="O287" s="13"/>
      <c r="Q287" s="14"/>
      <c r="R287" s="14"/>
      <c r="S287" s="15"/>
      <c r="T287" s="14"/>
      <c r="V287" s="13"/>
      <c r="W287" s="87"/>
      <c r="X287" s="11"/>
    </row>
    <row r="288" spans="2:24" x14ac:dyDescent="0.25">
      <c r="B288" s="14"/>
      <c r="C288" s="14"/>
      <c r="H288" s="14"/>
      <c r="L288" s="13"/>
      <c r="M288" s="13"/>
      <c r="N288" s="16"/>
      <c r="O288" s="13"/>
      <c r="Q288" s="14"/>
      <c r="R288" s="14"/>
      <c r="S288" s="15"/>
      <c r="T288" s="14"/>
      <c r="V288" s="13"/>
      <c r="W288" s="87"/>
      <c r="X288" s="11"/>
    </row>
    <row r="289" spans="2:24" x14ac:dyDescent="0.25">
      <c r="B289" s="14"/>
      <c r="C289" s="14"/>
      <c r="H289" s="14"/>
      <c r="L289" s="13"/>
      <c r="M289" s="13"/>
      <c r="N289" s="16"/>
      <c r="O289" s="13"/>
      <c r="Q289" s="14"/>
      <c r="R289" s="14"/>
      <c r="S289" s="15"/>
      <c r="T289" s="14"/>
      <c r="V289" s="13"/>
      <c r="W289" s="87"/>
      <c r="X289" s="11"/>
    </row>
    <row r="290" spans="2:24" x14ac:dyDescent="0.25">
      <c r="B290" s="14"/>
      <c r="C290" s="14"/>
      <c r="H290" s="14"/>
      <c r="L290" s="13"/>
      <c r="M290" s="13"/>
      <c r="N290" s="16"/>
      <c r="O290" s="13"/>
      <c r="Q290" s="14"/>
      <c r="R290" s="14"/>
      <c r="S290" s="15"/>
      <c r="T290" s="14"/>
      <c r="V290" s="13"/>
      <c r="W290" s="87"/>
      <c r="X290" s="11"/>
    </row>
    <row r="291" spans="2:24" x14ac:dyDescent="0.25">
      <c r="B291" s="14"/>
      <c r="C291" s="14"/>
      <c r="H291" s="14"/>
      <c r="L291" s="13"/>
      <c r="M291" s="13"/>
      <c r="N291" s="16"/>
      <c r="O291" s="13"/>
      <c r="Q291" s="14"/>
      <c r="R291" s="14"/>
      <c r="S291" s="15"/>
      <c r="T291" s="14"/>
      <c r="V291" s="13"/>
      <c r="W291" s="87"/>
      <c r="X291" s="11"/>
    </row>
    <row r="292" spans="2:24" x14ac:dyDescent="0.25">
      <c r="B292" s="14"/>
      <c r="C292" s="14"/>
      <c r="H292" s="14"/>
      <c r="L292" s="13"/>
      <c r="M292" s="13"/>
      <c r="N292" s="16"/>
      <c r="O292" s="13"/>
      <c r="Q292" s="14"/>
      <c r="R292" s="14"/>
      <c r="S292" s="15"/>
      <c r="T292" s="14"/>
      <c r="V292" s="12"/>
      <c r="W292" s="87"/>
      <c r="X292" s="11"/>
    </row>
    <row r="293" spans="2:24" x14ac:dyDescent="0.25">
      <c r="B293" s="14"/>
      <c r="C293" s="14"/>
      <c r="H293" s="14"/>
      <c r="L293" s="13"/>
      <c r="M293" s="13"/>
      <c r="N293" s="16"/>
      <c r="O293" s="13"/>
      <c r="Q293" s="14"/>
      <c r="R293" s="14"/>
      <c r="S293" s="15"/>
      <c r="T293" s="14"/>
      <c r="V293" s="12"/>
      <c r="W293" s="87"/>
      <c r="X293" s="11"/>
    </row>
    <row r="294" spans="2:24" x14ac:dyDescent="0.25">
      <c r="B294" s="14"/>
      <c r="C294" s="14"/>
      <c r="H294" s="14"/>
      <c r="L294" s="13"/>
      <c r="M294" s="13"/>
      <c r="N294" s="16"/>
      <c r="O294" s="13"/>
      <c r="Q294" s="14"/>
      <c r="R294" s="14"/>
      <c r="S294" s="15"/>
      <c r="T294" s="14"/>
      <c r="V294" s="12"/>
      <c r="W294" s="87"/>
      <c r="X294" s="11"/>
    </row>
    <row r="295" spans="2:24" x14ac:dyDescent="0.25">
      <c r="B295" s="14"/>
      <c r="C295" s="14"/>
      <c r="H295" s="14"/>
      <c r="L295" s="12"/>
      <c r="M295" s="13"/>
      <c r="N295" s="16"/>
      <c r="O295" s="13"/>
      <c r="R295" s="14"/>
      <c r="S295" s="15"/>
      <c r="T295" s="14"/>
      <c r="V295" s="12"/>
      <c r="W295" s="87"/>
      <c r="X295" s="11"/>
    </row>
    <row r="296" spans="2:24" x14ac:dyDescent="0.25">
      <c r="B296" s="14"/>
      <c r="C296" s="14"/>
      <c r="H296" s="14"/>
      <c r="L296" s="12"/>
      <c r="M296" s="13"/>
      <c r="N296" s="16"/>
      <c r="O296" s="13"/>
      <c r="R296" s="14"/>
      <c r="S296" s="15"/>
      <c r="T296" s="14"/>
      <c r="V296" s="12"/>
      <c r="W296" s="87"/>
      <c r="X296" s="11"/>
    </row>
    <row r="297" spans="2:24" x14ac:dyDescent="0.25">
      <c r="B297" s="14"/>
      <c r="C297" s="14"/>
      <c r="H297" s="14"/>
      <c r="L297" s="12"/>
      <c r="M297" s="13"/>
      <c r="N297" s="16"/>
      <c r="O297" s="13"/>
      <c r="R297" s="14"/>
      <c r="S297" s="15"/>
      <c r="T297" s="14"/>
      <c r="V297" s="12"/>
      <c r="W297" s="87"/>
      <c r="X297" s="11"/>
    </row>
    <row r="298" spans="2:24" x14ac:dyDescent="0.25">
      <c r="B298" s="14"/>
      <c r="C298" s="14"/>
      <c r="H298" s="14"/>
      <c r="L298" s="12"/>
      <c r="M298" s="13"/>
      <c r="N298" s="16"/>
      <c r="O298" s="13"/>
      <c r="R298" s="14"/>
      <c r="S298" s="15"/>
      <c r="T298" s="14"/>
      <c r="V298" s="12"/>
      <c r="W298" s="87"/>
      <c r="X298" s="11"/>
    </row>
    <row r="299" spans="2:24" x14ac:dyDescent="0.25">
      <c r="B299" s="14"/>
      <c r="C299" s="14"/>
      <c r="H299" s="14"/>
      <c r="L299" s="12"/>
      <c r="M299" s="13"/>
      <c r="N299" s="16"/>
      <c r="O299" s="13"/>
      <c r="R299" s="14"/>
      <c r="S299" s="15"/>
      <c r="T299" s="14"/>
      <c r="V299" s="12"/>
      <c r="W299" s="87"/>
      <c r="X299" s="11"/>
    </row>
    <row r="300" spans="2:24" x14ac:dyDescent="0.25">
      <c r="B300" s="14"/>
      <c r="C300" s="14"/>
      <c r="H300" s="14"/>
      <c r="L300" s="12"/>
      <c r="M300" s="13"/>
      <c r="N300" s="16"/>
      <c r="O300" s="13"/>
      <c r="R300" s="14"/>
      <c r="S300" s="15"/>
      <c r="T300" s="14"/>
      <c r="V300" s="12"/>
      <c r="W300" s="87"/>
      <c r="X300" s="11"/>
    </row>
    <row r="301" spans="2:24" x14ac:dyDescent="0.25">
      <c r="B301" s="14"/>
      <c r="C301" s="14"/>
      <c r="H301" s="14"/>
      <c r="L301" s="12"/>
      <c r="M301" s="13"/>
      <c r="N301" s="16"/>
      <c r="O301" s="13"/>
      <c r="R301" s="14"/>
      <c r="S301" s="15"/>
      <c r="T301" s="14"/>
      <c r="V301" s="12"/>
      <c r="W301" s="87"/>
      <c r="X301" s="11"/>
    </row>
    <row r="302" spans="2:24" x14ac:dyDescent="0.25">
      <c r="B302" s="14"/>
      <c r="C302" s="14"/>
      <c r="H302" s="14"/>
      <c r="L302" s="12"/>
      <c r="M302" s="13"/>
      <c r="N302" s="16"/>
      <c r="O302" s="13"/>
      <c r="R302" s="14"/>
      <c r="S302" s="15"/>
      <c r="T302" s="14"/>
      <c r="V302" s="12"/>
      <c r="W302" s="87"/>
      <c r="X302" s="11"/>
    </row>
    <row r="303" spans="2:24" x14ac:dyDescent="0.25">
      <c r="B303" s="14"/>
      <c r="C303" s="14"/>
      <c r="H303" s="14"/>
      <c r="L303" s="12"/>
      <c r="M303" s="13"/>
      <c r="N303" s="16"/>
      <c r="O303" s="13"/>
      <c r="R303" s="14"/>
      <c r="S303" s="15"/>
      <c r="T303" s="14"/>
      <c r="V303" s="12"/>
      <c r="W303" s="87"/>
      <c r="X303" s="11"/>
    </row>
    <row r="304" spans="2:24" x14ac:dyDescent="0.25">
      <c r="B304" s="14"/>
      <c r="C304" s="14"/>
      <c r="H304" s="14"/>
      <c r="L304" s="12"/>
      <c r="M304" s="13"/>
      <c r="N304" s="16"/>
      <c r="O304" s="13"/>
      <c r="R304" s="14"/>
      <c r="S304" s="15"/>
      <c r="T304" s="14"/>
      <c r="V304" s="12"/>
      <c r="W304" s="87"/>
      <c r="X304" s="11"/>
    </row>
    <row r="305" spans="2:24" x14ac:dyDescent="0.25">
      <c r="B305" s="14"/>
      <c r="C305" s="14"/>
      <c r="H305" s="14"/>
      <c r="L305" s="12"/>
      <c r="M305" s="13"/>
      <c r="N305" s="16"/>
      <c r="O305" s="13"/>
      <c r="R305" s="14"/>
      <c r="S305" s="15"/>
      <c r="T305" s="14"/>
      <c r="V305" s="12"/>
      <c r="W305" s="87"/>
      <c r="X305" s="11"/>
    </row>
    <row r="306" spans="2:24" x14ac:dyDescent="0.25">
      <c r="B306" s="14"/>
      <c r="C306" s="14"/>
      <c r="H306" s="14"/>
      <c r="L306" s="12"/>
      <c r="M306" s="13"/>
      <c r="N306" s="16"/>
      <c r="O306" s="13"/>
      <c r="R306" s="14"/>
      <c r="S306" s="15"/>
      <c r="T306" s="14"/>
      <c r="V306" s="12"/>
      <c r="W306" s="87"/>
      <c r="X306" s="11"/>
    </row>
    <row r="307" spans="2:24" x14ac:dyDescent="0.25">
      <c r="B307" s="14"/>
      <c r="C307" s="14"/>
      <c r="H307" s="14"/>
      <c r="L307" s="12"/>
      <c r="M307" s="13"/>
      <c r="N307" s="16"/>
      <c r="O307" s="13"/>
      <c r="R307" s="14"/>
      <c r="S307" s="15"/>
      <c r="T307" s="14"/>
      <c r="V307" s="12"/>
      <c r="W307" s="87"/>
      <c r="X307" s="11"/>
    </row>
    <row r="308" spans="2:24" x14ac:dyDescent="0.25">
      <c r="B308" s="14"/>
      <c r="C308" s="14"/>
      <c r="H308" s="14"/>
      <c r="L308" s="12"/>
      <c r="M308" s="13"/>
      <c r="N308" s="16"/>
      <c r="O308" s="13"/>
      <c r="R308" s="14"/>
      <c r="S308" s="15"/>
      <c r="T308" s="14"/>
      <c r="V308" s="12"/>
      <c r="W308" s="87"/>
      <c r="X308" s="11"/>
    </row>
    <row r="309" spans="2:24" x14ac:dyDescent="0.25">
      <c r="B309" s="14"/>
      <c r="C309" s="14"/>
      <c r="H309" s="14"/>
      <c r="L309" s="12"/>
      <c r="M309" s="13"/>
      <c r="N309" s="16"/>
      <c r="O309" s="13"/>
      <c r="R309" s="14"/>
      <c r="S309" s="15"/>
      <c r="T309" s="14"/>
      <c r="V309" s="12"/>
      <c r="W309" s="87"/>
      <c r="X309" s="11"/>
    </row>
    <row r="310" spans="2:24" x14ac:dyDescent="0.25">
      <c r="B310" s="14"/>
      <c r="C310" s="14"/>
      <c r="H310" s="14"/>
      <c r="L310" s="12"/>
      <c r="M310" s="13"/>
      <c r="N310" s="16"/>
      <c r="O310" s="13"/>
      <c r="R310" s="14"/>
      <c r="S310" s="15"/>
      <c r="T310" s="14"/>
      <c r="V310" s="12"/>
      <c r="W310" s="87"/>
      <c r="X310" s="11"/>
    </row>
    <row r="311" spans="2:24" x14ac:dyDescent="0.25">
      <c r="B311" s="14"/>
      <c r="C311" s="14"/>
      <c r="H311" s="14"/>
      <c r="L311" s="12"/>
      <c r="M311" s="13"/>
      <c r="N311" s="16"/>
      <c r="O311" s="13"/>
      <c r="R311" s="14"/>
      <c r="S311" s="15"/>
      <c r="T311" s="14"/>
      <c r="V311" s="12"/>
      <c r="W311" s="87"/>
      <c r="X311" s="11"/>
    </row>
    <row r="312" spans="2:24" x14ac:dyDescent="0.25">
      <c r="B312" s="14"/>
      <c r="C312" s="14"/>
      <c r="H312" s="14"/>
      <c r="L312" s="12"/>
      <c r="M312" s="13"/>
      <c r="N312" s="16"/>
      <c r="O312" s="13"/>
      <c r="R312" s="14"/>
      <c r="S312" s="15"/>
      <c r="T312" s="14"/>
      <c r="V312" s="12"/>
      <c r="W312" s="87"/>
      <c r="X312" s="11"/>
    </row>
    <row r="313" spans="2:24" x14ac:dyDescent="0.25">
      <c r="B313" s="14"/>
      <c r="C313" s="14"/>
      <c r="H313" s="14"/>
      <c r="L313" s="12"/>
      <c r="M313" s="13"/>
      <c r="N313" s="16"/>
      <c r="O313" s="13"/>
      <c r="R313" s="14"/>
      <c r="S313" s="15"/>
      <c r="T313" s="14"/>
      <c r="V313" s="12"/>
      <c r="W313" s="87"/>
      <c r="X313" s="11"/>
    </row>
    <row r="314" spans="2:24" x14ac:dyDescent="0.25">
      <c r="B314" s="14"/>
      <c r="C314" s="14"/>
      <c r="H314" s="14"/>
      <c r="L314" s="12"/>
      <c r="M314" s="13"/>
      <c r="N314" s="16"/>
      <c r="O314" s="13"/>
      <c r="R314" s="14"/>
      <c r="S314" s="15"/>
      <c r="T314" s="14"/>
      <c r="V314" s="12"/>
      <c r="W314" s="87"/>
      <c r="X314" s="11"/>
    </row>
    <row r="315" spans="2:24" x14ac:dyDescent="0.25">
      <c r="B315" s="14"/>
      <c r="C315" s="14"/>
      <c r="H315" s="14"/>
      <c r="L315" s="12"/>
      <c r="M315" s="13"/>
      <c r="N315" s="16"/>
      <c r="O315" s="13"/>
      <c r="R315" s="14"/>
      <c r="S315" s="15"/>
      <c r="T315" s="14"/>
      <c r="V315" s="12"/>
      <c r="W315" s="87"/>
      <c r="X315" s="11"/>
    </row>
    <row r="316" spans="2:24" x14ac:dyDescent="0.25">
      <c r="B316" s="14"/>
      <c r="C316" s="14"/>
      <c r="H316" s="14"/>
      <c r="L316" s="12"/>
      <c r="M316" s="13"/>
      <c r="N316" s="16"/>
      <c r="O316" s="13"/>
      <c r="R316" s="14"/>
      <c r="S316" s="15"/>
      <c r="T316" s="14"/>
      <c r="V316" s="12"/>
      <c r="W316" s="87"/>
      <c r="X316" s="11"/>
    </row>
    <row r="317" spans="2:24" x14ac:dyDescent="0.25">
      <c r="B317" s="14"/>
      <c r="C317" s="14"/>
      <c r="H317" s="14"/>
      <c r="L317" s="12"/>
      <c r="M317" s="13"/>
      <c r="N317" s="16"/>
      <c r="O317" s="13"/>
      <c r="R317" s="14"/>
      <c r="S317" s="15"/>
      <c r="T317" s="14"/>
      <c r="V317" s="12"/>
      <c r="W317" s="87"/>
      <c r="X317" s="11"/>
    </row>
    <row r="318" spans="2:24" x14ac:dyDescent="0.25">
      <c r="B318" s="14"/>
      <c r="C318" s="14"/>
      <c r="H318" s="14"/>
      <c r="L318" s="12"/>
      <c r="M318" s="13"/>
      <c r="N318" s="16"/>
      <c r="O318" s="13"/>
      <c r="R318" s="14"/>
      <c r="S318" s="15"/>
      <c r="T318" s="14"/>
      <c r="V318" s="12"/>
      <c r="W318" s="87"/>
      <c r="X318" s="11"/>
    </row>
    <row r="319" spans="2:24" x14ac:dyDescent="0.25">
      <c r="B319" s="14"/>
      <c r="C319" s="14"/>
      <c r="H319" s="14"/>
      <c r="L319" s="12"/>
      <c r="M319" s="13"/>
      <c r="N319" s="16"/>
      <c r="O319" s="13"/>
      <c r="R319" s="14"/>
      <c r="S319" s="15"/>
      <c r="T319" s="14"/>
      <c r="V319" s="12"/>
      <c r="W319" s="87"/>
      <c r="X319" s="11"/>
    </row>
    <row r="320" spans="2:24" x14ac:dyDescent="0.25">
      <c r="B320" s="14"/>
      <c r="C320" s="14"/>
      <c r="H320" s="14"/>
      <c r="L320" s="12"/>
      <c r="M320" s="13"/>
      <c r="N320" s="16"/>
      <c r="O320" s="13"/>
      <c r="R320" s="14"/>
      <c r="S320" s="15"/>
      <c r="T320" s="14"/>
      <c r="V320" s="12"/>
      <c r="W320" s="87"/>
      <c r="X320" s="11"/>
    </row>
    <row r="321" spans="2:24" x14ac:dyDescent="0.25">
      <c r="B321" s="14"/>
      <c r="C321" s="14"/>
      <c r="H321" s="14"/>
      <c r="L321" s="12"/>
      <c r="M321" s="13"/>
      <c r="N321" s="16"/>
      <c r="O321" s="13"/>
      <c r="R321" s="14"/>
      <c r="S321" s="15"/>
      <c r="T321" s="14"/>
      <c r="V321" s="12"/>
      <c r="W321" s="87"/>
      <c r="X321" s="11"/>
    </row>
    <row r="322" spans="2:24" x14ac:dyDescent="0.25">
      <c r="B322" s="14"/>
      <c r="C322" s="14"/>
      <c r="H322" s="14"/>
      <c r="L322" s="12"/>
      <c r="M322" s="13"/>
      <c r="N322" s="16"/>
      <c r="O322" s="13"/>
      <c r="R322" s="14"/>
      <c r="S322" s="15"/>
      <c r="T322" s="14"/>
      <c r="V322" s="12"/>
      <c r="W322" s="87"/>
      <c r="X322" s="11"/>
    </row>
    <row r="323" spans="2:24" x14ac:dyDescent="0.25">
      <c r="B323" s="14"/>
      <c r="C323" s="14"/>
      <c r="H323" s="14"/>
      <c r="L323" s="12"/>
      <c r="M323" s="13"/>
      <c r="N323" s="16"/>
      <c r="O323" s="13"/>
      <c r="R323" s="14"/>
      <c r="S323" s="15"/>
      <c r="T323" s="14"/>
      <c r="V323" s="12"/>
      <c r="W323" s="87"/>
      <c r="X323" s="11"/>
    </row>
    <row r="324" spans="2:24" x14ac:dyDescent="0.25">
      <c r="B324" s="14"/>
      <c r="C324" s="14"/>
      <c r="H324" s="14"/>
      <c r="L324" s="12"/>
      <c r="M324" s="13"/>
      <c r="N324" s="16"/>
      <c r="O324" s="13"/>
      <c r="R324" s="14"/>
      <c r="S324" s="15"/>
      <c r="T324" s="14"/>
      <c r="V324" s="12"/>
      <c r="W324" s="87"/>
      <c r="X324" s="11"/>
    </row>
    <row r="325" spans="2:24" x14ac:dyDescent="0.25">
      <c r="B325" s="14"/>
      <c r="C325" s="14"/>
      <c r="H325" s="14"/>
      <c r="L325" s="12"/>
      <c r="M325" s="13"/>
      <c r="N325" s="16"/>
      <c r="O325" s="13"/>
      <c r="R325" s="14"/>
      <c r="S325" s="15"/>
      <c r="T325" s="14"/>
      <c r="V325" s="12"/>
      <c r="W325" s="87"/>
      <c r="X325" s="11"/>
    </row>
    <row r="326" spans="2:24" x14ac:dyDescent="0.25">
      <c r="B326" s="14"/>
      <c r="C326" s="14"/>
      <c r="H326" s="14"/>
      <c r="L326" s="12"/>
      <c r="M326" s="13"/>
      <c r="N326" s="16"/>
      <c r="O326" s="13"/>
      <c r="R326" s="14"/>
      <c r="S326" s="15"/>
      <c r="T326" s="14"/>
      <c r="V326" s="12"/>
      <c r="W326" s="87"/>
      <c r="X326" s="11"/>
    </row>
    <row r="327" spans="2:24" x14ac:dyDescent="0.25">
      <c r="B327" s="14"/>
      <c r="C327" s="14"/>
      <c r="H327" s="14"/>
      <c r="L327" s="12"/>
      <c r="M327" s="13"/>
      <c r="N327" s="16"/>
      <c r="O327" s="13"/>
      <c r="R327" s="14"/>
      <c r="S327" s="15"/>
      <c r="T327" s="14"/>
      <c r="V327" s="12"/>
      <c r="W327" s="87"/>
      <c r="X327" s="11"/>
    </row>
    <row r="328" spans="2:24" x14ac:dyDescent="0.25">
      <c r="B328" s="14"/>
      <c r="C328" s="14"/>
      <c r="H328" s="14"/>
      <c r="L328" s="12"/>
      <c r="M328" s="13"/>
      <c r="N328" s="16"/>
      <c r="O328" s="13"/>
      <c r="R328" s="14"/>
      <c r="S328" s="15"/>
      <c r="T328" s="14"/>
      <c r="V328" s="12"/>
      <c r="W328" s="87"/>
      <c r="X328" s="11"/>
    </row>
    <row r="329" spans="2:24" x14ac:dyDescent="0.25">
      <c r="B329" s="14"/>
      <c r="C329" s="14"/>
      <c r="H329" s="14"/>
      <c r="L329" s="12"/>
      <c r="M329" s="13"/>
      <c r="N329" s="16"/>
      <c r="O329" s="13"/>
      <c r="R329" s="14"/>
      <c r="S329" s="15"/>
      <c r="T329" s="14"/>
      <c r="V329" s="12"/>
      <c r="W329" s="87"/>
      <c r="X329" s="11"/>
    </row>
    <row r="330" spans="2:24" x14ac:dyDescent="0.25">
      <c r="B330" s="14"/>
      <c r="C330" s="14"/>
      <c r="H330" s="14"/>
      <c r="L330" s="12"/>
      <c r="M330" s="13"/>
      <c r="N330" s="16"/>
      <c r="O330" s="13"/>
      <c r="R330" s="14"/>
      <c r="S330" s="15"/>
      <c r="T330" s="14"/>
      <c r="V330" s="12"/>
      <c r="W330" s="87"/>
      <c r="X330" s="11"/>
    </row>
    <row r="331" spans="2:24" x14ac:dyDescent="0.25">
      <c r="B331" s="14"/>
      <c r="C331" s="14"/>
      <c r="H331" s="14"/>
      <c r="L331" s="12"/>
      <c r="M331" s="13"/>
      <c r="N331" s="16"/>
      <c r="O331" s="13"/>
      <c r="R331" s="14"/>
      <c r="S331" s="15"/>
      <c r="T331" s="14"/>
      <c r="V331" s="12"/>
      <c r="W331" s="87"/>
      <c r="X331" s="11"/>
    </row>
    <row r="332" spans="2:24" x14ac:dyDescent="0.25">
      <c r="B332" s="14"/>
      <c r="C332" s="14"/>
      <c r="H332" s="14"/>
      <c r="L332" s="12"/>
      <c r="M332" s="13"/>
      <c r="N332" s="16"/>
      <c r="O332" s="13"/>
      <c r="R332" s="14"/>
      <c r="S332" s="15"/>
      <c r="T332" s="14"/>
      <c r="W332" s="87"/>
      <c r="X332" s="11"/>
    </row>
    <row r="333" spans="2:24" x14ac:dyDescent="0.25">
      <c r="B333" s="14"/>
      <c r="C333" s="14"/>
      <c r="H333" s="14"/>
      <c r="L333" s="12"/>
      <c r="M333" s="13"/>
      <c r="N333" s="16"/>
      <c r="O333" s="13"/>
      <c r="R333" s="14"/>
      <c r="S333" s="15"/>
      <c r="T333" s="14"/>
      <c r="W333" s="87"/>
      <c r="X333" s="11"/>
    </row>
    <row r="334" spans="2:24" x14ac:dyDescent="0.25">
      <c r="B334" s="14"/>
      <c r="C334" s="14"/>
      <c r="H334" s="14"/>
      <c r="L334" s="12"/>
      <c r="M334" s="13"/>
      <c r="N334" s="16"/>
      <c r="O334" s="13"/>
      <c r="R334" s="14"/>
      <c r="S334" s="15"/>
      <c r="T334" s="14"/>
      <c r="W334" s="87"/>
      <c r="X334" s="11"/>
    </row>
    <row r="335" spans="2:24" x14ac:dyDescent="0.25">
      <c r="B335" s="14"/>
      <c r="C335" s="14"/>
      <c r="H335" s="14"/>
      <c r="L335" s="12"/>
      <c r="M335" s="13"/>
      <c r="N335" s="16"/>
      <c r="O335" s="13"/>
      <c r="R335" s="14"/>
      <c r="S335" s="15"/>
      <c r="T335" s="14"/>
      <c r="W335" s="87"/>
      <c r="X335" s="11"/>
    </row>
    <row r="336" spans="2:24" x14ac:dyDescent="0.25">
      <c r="B336" s="14"/>
      <c r="C336" s="14"/>
      <c r="H336" s="14"/>
      <c r="L336" s="12"/>
      <c r="M336" s="13"/>
      <c r="N336" s="16"/>
      <c r="O336" s="13"/>
      <c r="R336" s="14"/>
      <c r="S336" s="15"/>
      <c r="T336" s="14"/>
      <c r="W336" s="87"/>
      <c r="X336" s="11"/>
    </row>
    <row r="337" spans="2:24" x14ac:dyDescent="0.25">
      <c r="B337" s="14"/>
      <c r="C337" s="14"/>
      <c r="H337" s="14"/>
      <c r="L337" s="12"/>
      <c r="M337" s="13"/>
      <c r="N337" s="16"/>
      <c r="O337" s="13"/>
      <c r="R337" s="14"/>
      <c r="S337" s="15"/>
      <c r="T337" s="14"/>
      <c r="W337" s="87"/>
      <c r="X337" s="11"/>
    </row>
    <row r="338" spans="2:24" x14ac:dyDescent="0.25">
      <c r="B338" s="14"/>
      <c r="C338" s="14"/>
      <c r="H338" s="14"/>
      <c r="L338" s="12"/>
      <c r="M338" s="13"/>
      <c r="N338" s="16"/>
      <c r="O338" s="13"/>
      <c r="R338" s="14"/>
      <c r="S338" s="15"/>
      <c r="T338" s="14"/>
      <c r="W338" s="87"/>
      <c r="X338" s="11"/>
    </row>
    <row r="339" spans="2:24" x14ac:dyDescent="0.25">
      <c r="B339" s="14"/>
      <c r="C339" s="14"/>
      <c r="H339" s="14"/>
      <c r="L339" s="12"/>
      <c r="M339" s="13"/>
      <c r="N339" s="16"/>
      <c r="O339" s="13"/>
      <c r="R339" s="14"/>
      <c r="S339" s="15"/>
      <c r="T339" s="14"/>
      <c r="W339" s="87"/>
      <c r="X339" s="11"/>
    </row>
    <row r="340" spans="2:24" x14ac:dyDescent="0.25">
      <c r="B340" s="14"/>
      <c r="C340" s="14"/>
      <c r="H340" s="14"/>
      <c r="L340" s="12"/>
      <c r="M340" s="13"/>
      <c r="N340" s="16"/>
      <c r="O340" s="13"/>
      <c r="R340" s="14"/>
      <c r="S340" s="15"/>
      <c r="T340" s="14"/>
      <c r="W340" s="87"/>
      <c r="X340" s="11"/>
    </row>
    <row r="341" spans="2:24" x14ac:dyDescent="0.25">
      <c r="B341" s="14"/>
      <c r="C341" s="14"/>
      <c r="H341" s="14"/>
      <c r="L341" s="12"/>
      <c r="M341" s="13"/>
      <c r="N341" s="16"/>
      <c r="O341" s="13"/>
      <c r="R341" s="14"/>
      <c r="S341" s="15"/>
      <c r="T341" s="14"/>
      <c r="W341" s="87"/>
      <c r="X341" s="11"/>
    </row>
    <row r="342" spans="2:24" x14ac:dyDescent="0.25">
      <c r="B342" s="14"/>
      <c r="C342" s="14"/>
      <c r="H342" s="14"/>
      <c r="L342" s="12"/>
      <c r="M342" s="13"/>
      <c r="N342" s="16"/>
      <c r="O342" s="13"/>
      <c r="R342" s="14"/>
      <c r="S342" s="15"/>
      <c r="T342" s="14"/>
      <c r="W342" s="87"/>
      <c r="X342" s="11"/>
    </row>
    <row r="343" spans="2:24" x14ac:dyDescent="0.25">
      <c r="B343" s="14"/>
      <c r="C343" s="14"/>
      <c r="H343" s="14"/>
      <c r="L343" s="12"/>
      <c r="M343" s="13"/>
      <c r="N343" s="16"/>
      <c r="O343" s="13"/>
      <c r="R343" s="14"/>
      <c r="S343" s="15"/>
      <c r="T343" s="14"/>
      <c r="W343" s="87"/>
      <c r="X343" s="11"/>
    </row>
    <row r="344" spans="2:24" x14ac:dyDescent="0.25">
      <c r="B344" s="14"/>
      <c r="C344" s="14"/>
      <c r="H344" s="14"/>
      <c r="L344" s="12"/>
      <c r="M344" s="13"/>
      <c r="N344" s="16"/>
      <c r="O344" s="13"/>
      <c r="R344" s="14"/>
      <c r="S344" s="15"/>
      <c r="T344" s="14"/>
      <c r="W344" s="87"/>
      <c r="X344" s="11"/>
    </row>
    <row r="345" spans="2:24" x14ac:dyDescent="0.25">
      <c r="B345" s="14"/>
      <c r="C345" s="14"/>
      <c r="H345" s="14"/>
      <c r="L345" s="12"/>
      <c r="M345" s="13"/>
      <c r="N345" s="16"/>
      <c r="O345" s="13"/>
      <c r="R345" s="14"/>
      <c r="S345" s="15"/>
      <c r="T345" s="14"/>
      <c r="W345" s="87"/>
      <c r="X345" s="11"/>
    </row>
    <row r="346" spans="2:24" x14ac:dyDescent="0.25">
      <c r="B346" s="14"/>
      <c r="C346" s="14"/>
      <c r="H346" s="14"/>
      <c r="L346" s="12"/>
      <c r="M346" s="13"/>
      <c r="N346" s="16"/>
      <c r="O346" s="13"/>
      <c r="R346" s="14"/>
      <c r="S346" s="15"/>
      <c r="T346" s="14"/>
      <c r="W346" s="87"/>
      <c r="X346" s="11"/>
    </row>
    <row r="347" spans="2:24" x14ac:dyDescent="0.25">
      <c r="B347" s="14"/>
      <c r="C347" s="14"/>
      <c r="H347" s="14"/>
      <c r="L347" s="12"/>
      <c r="M347" s="13"/>
      <c r="N347" s="16"/>
      <c r="O347" s="13"/>
      <c r="R347" s="14"/>
      <c r="S347" s="15"/>
      <c r="T347" s="14"/>
      <c r="W347" s="87"/>
      <c r="X347" s="11"/>
    </row>
    <row r="348" spans="2:24" x14ac:dyDescent="0.25">
      <c r="B348" s="14"/>
      <c r="C348" s="14"/>
      <c r="H348" s="14"/>
      <c r="L348" s="12"/>
      <c r="M348" s="13"/>
      <c r="N348" s="16"/>
      <c r="O348" s="13"/>
      <c r="R348" s="14"/>
      <c r="S348" s="15"/>
      <c r="T348" s="14"/>
      <c r="W348" s="87"/>
      <c r="X348" s="11"/>
    </row>
    <row r="349" spans="2:24" x14ac:dyDescent="0.25">
      <c r="B349" s="14"/>
      <c r="C349" s="14"/>
      <c r="H349" s="14"/>
      <c r="L349" s="12"/>
      <c r="M349" s="13"/>
      <c r="N349" s="16"/>
      <c r="O349" s="13"/>
      <c r="R349" s="14"/>
      <c r="S349" s="15"/>
      <c r="T349" s="14"/>
      <c r="W349" s="87"/>
      <c r="X349" s="11"/>
    </row>
    <row r="350" spans="2:24" x14ac:dyDescent="0.25">
      <c r="B350" s="14"/>
      <c r="C350" s="14"/>
      <c r="H350" s="14"/>
      <c r="L350" s="12"/>
      <c r="M350" s="13"/>
      <c r="N350" s="16"/>
      <c r="O350" s="13"/>
      <c r="R350" s="14"/>
      <c r="S350" s="15"/>
      <c r="T350" s="14"/>
      <c r="W350" s="87"/>
      <c r="X350" s="11"/>
    </row>
    <row r="351" spans="2:24" x14ac:dyDescent="0.25">
      <c r="B351" s="14"/>
      <c r="C351" s="14"/>
      <c r="H351" s="14"/>
      <c r="L351" s="12"/>
      <c r="M351" s="13"/>
      <c r="N351" s="16"/>
      <c r="O351" s="13"/>
      <c r="R351" s="14"/>
      <c r="S351" s="15"/>
      <c r="T351" s="14"/>
      <c r="W351" s="87"/>
      <c r="X351" s="11"/>
    </row>
    <row r="352" spans="2:24" x14ac:dyDescent="0.25">
      <c r="B352" s="14"/>
      <c r="C352" s="14"/>
      <c r="H352" s="14"/>
      <c r="L352" s="12"/>
      <c r="M352" s="13"/>
      <c r="N352" s="16"/>
      <c r="O352" s="13"/>
      <c r="R352" s="14"/>
      <c r="S352" s="15"/>
      <c r="T352" s="14"/>
      <c r="W352" s="87"/>
      <c r="X352" s="11"/>
    </row>
    <row r="353" spans="2:24" x14ac:dyDescent="0.25">
      <c r="B353" s="14"/>
      <c r="C353" s="14"/>
      <c r="H353" s="14"/>
      <c r="L353" s="12"/>
      <c r="M353" s="13"/>
      <c r="N353" s="16"/>
      <c r="O353" s="13"/>
      <c r="R353" s="14"/>
      <c r="S353" s="15"/>
      <c r="T353" s="14"/>
      <c r="W353" s="87"/>
      <c r="X353" s="11"/>
    </row>
    <row r="354" spans="2:24" x14ac:dyDescent="0.25">
      <c r="B354" s="14"/>
      <c r="C354" s="14"/>
      <c r="H354" s="14"/>
      <c r="L354" s="12"/>
      <c r="M354" s="13"/>
      <c r="N354" s="16"/>
      <c r="O354" s="13"/>
      <c r="R354" s="14"/>
      <c r="S354" s="15"/>
      <c r="T354" s="14"/>
      <c r="W354" s="87"/>
      <c r="X354" s="11"/>
    </row>
    <row r="355" spans="2:24" x14ac:dyDescent="0.25">
      <c r="B355" s="14"/>
      <c r="C355" s="14"/>
      <c r="H355" s="14"/>
      <c r="L355" s="12"/>
      <c r="M355" s="13"/>
      <c r="N355" s="16"/>
      <c r="O355" s="13"/>
      <c r="R355" s="14"/>
      <c r="S355" s="15"/>
      <c r="T355" s="14"/>
      <c r="W355" s="87"/>
      <c r="X355" s="11"/>
    </row>
    <row r="356" spans="2:24" x14ac:dyDescent="0.25">
      <c r="B356" s="14"/>
      <c r="C356" s="14"/>
      <c r="H356" s="14"/>
      <c r="L356" s="12"/>
      <c r="M356" s="13"/>
      <c r="N356" s="16"/>
      <c r="O356" s="13"/>
      <c r="R356" s="14"/>
      <c r="S356" s="15"/>
      <c r="T356" s="14"/>
      <c r="W356" s="87"/>
      <c r="X356" s="11"/>
    </row>
    <row r="357" spans="2:24" x14ac:dyDescent="0.25">
      <c r="B357" s="14"/>
      <c r="C357" s="14"/>
      <c r="H357" s="14"/>
      <c r="L357" s="12"/>
      <c r="M357" s="13"/>
      <c r="N357" s="16"/>
      <c r="O357" s="13"/>
      <c r="R357" s="14"/>
      <c r="S357" s="15"/>
      <c r="T357" s="14"/>
      <c r="W357" s="87"/>
      <c r="X357" s="11"/>
    </row>
    <row r="358" spans="2:24" x14ac:dyDescent="0.25">
      <c r="B358" s="14"/>
      <c r="C358" s="14"/>
      <c r="H358" s="14"/>
      <c r="L358" s="12"/>
      <c r="M358" s="13"/>
      <c r="N358" s="16"/>
      <c r="O358" s="13"/>
      <c r="R358" s="14"/>
      <c r="S358" s="15"/>
      <c r="T358" s="14"/>
      <c r="W358" s="87"/>
      <c r="X358" s="11"/>
    </row>
    <row r="359" spans="2:24" x14ac:dyDescent="0.25">
      <c r="B359" s="14"/>
      <c r="C359" s="14"/>
      <c r="H359" s="14"/>
      <c r="L359" s="12"/>
      <c r="M359" s="13"/>
      <c r="N359" s="16"/>
      <c r="O359" s="13"/>
      <c r="R359" s="14"/>
      <c r="S359" s="15"/>
      <c r="T359" s="14"/>
      <c r="W359" s="87"/>
      <c r="X359" s="11"/>
    </row>
    <row r="360" spans="2:24" x14ac:dyDescent="0.25">
      <c r="B360" s="14"/>
      <c r="C360" s="14"/>
      <c r="H360" s="14"/>
      <c r="M360" s="14"/>
      <c r="N360" s="15"/>
      <c r="O360" s="14"/>
      <c r="R360" s="14"/>
      <c r="S360" s="15"/>
      <c r="T360" s="14"/>
      <c r="W360" s="87"/>
      <c r="X360" s="11"/>
    </row>
    <row r="361" spans="2:24" x14ac:dyDescent="0.25">
      <c r="B361" s="14"/>
      <c r="C361" s="14"/>
      <c r="H361" s="14"/>
      <c r="M361" s="14"/>
      <c r="N361" s="15"/>
      <c r="O361" s="14"/>
      <c r="R361" s="14"/>
      <c r="S361" s="15"/>
      <c r="T361" s="14"/>
      <c r="W361" s="87"/>
      <c r="X361" s="11"/>
    </row>
    <row r="362" spans="2:24" x14ac:dyDescent="0.25">
      <c r="B362" s="14"/>
      <c r="C362" s="14"/>
      <c r="H362" s="14"/>
      <c r="M362" s="14"/>
      <c r="N362" s="15"/>
      <c r="O362" s="14"/>
      <c r="R362" s="14"/>
      <c r="S362" s="15"/>
      <c r="T362" s="14"/>
      <c r="W362" s="87"/>
      <c r="X362" s="11"/>
    </row>
    <row r="363" spans="2:24" x14ac:dyDescent="0.25">
      <c r="B363" s="14"/>
      <c r="C363" s="14"/>
      <c r="H363" s="14"/>
      <c r="M363" s="14"/>
      <c r="N363" s="15"/>
      <c r="O363" s="14"/>
      <c r="R363" s="14"/>
      <c r="S363" s="15"/>
      <c r="T363" s="14"/>
      <c r="W363" s="87"/>
      <c r="X363" s="11"/>
    </row>
    <row r="364" spans="2:24" x14ac:dyDescent="0.25">
      <c r="B364" s="14"/>
      <c r="C364" s="14"/>
      <c r="H364" s="14"/>
      <c r="M364" s="14"/>
      <c r="N364" s="15"/>
      <c r="O364" s="14"/>
      <c r="R364" s="14"/>
      <c r="S364" s="15"/>
      <c r="T364" s="14"/>
      <c r="W364" s="87"/>
      <c r="X364" s="11"/>
    </row>
    <row r="365" spans="2:24" x14ac:dyDescent="0.25">
      <c r="B365" s="14"/>
      <c r="C365" s="14"/>
      <c r="H365" s="14"/>
      <c r="M365" s="14"/>
      <c r="N365" s="15"/>
      <c r="O365" s="14"/>
      <c r="R365" s="14"/>
      <c r="S365" s="15"/>
      <c r="T365" s="14"/>
      <c r="W365" s="87"/>
      <c r="X365" s="11"/>
    </row>
    <row r="366" spans="2:24" x14ac:dyDescent="0.25">
      <c r="B366" s="14"/>
      <c r="C366" s="14"/>
      <c r="H366" s="14"/>
      <c r="M366" s="14"/>
      <c r="N366" s="15"/>
      <c r="O366" s="14"/>
      <c r="R366" s="14"/>
      <c r="S366" s="15"/>
      <c r="T366" s="14"/>
      <c r="W366" s="87"/>
      <c r="X366" s="11"/>
    </row>
    <row r="367" spans="2:24" x14ac:dyDescent="0.25">
      <c r="B367" s="14"/>
      <c r="C367" s="14"/>
      <c r="H367" s="14"/>
      <c r="M367" s="14"/>
      <c r="N367" s="15"/>
      <c r="O367" s="14"/>
      <c r="R367" s="14"/>
      <c r="S367" s="15"/>
      <c r="T367" s="14"/>
      <c r="W367" s="87"/>
      <c r="X367" s="11"/>
    </row>
    <row r="368" spans="2:24" x14ac:dyDescent="0.25">
      <c r="B368" s="14"/>
      <c r="C368" s="14"/>
      <c r="H368" s="14"/>
      <c r="M368" s="14"/>
      <c r="N368" s="15"/>
      <c r="O368" s="14"/>
      <c r="R368" s="14"/>
      <c r="S368" s="15"/>
      <c r="T368" s="14"/>
      <c r="W368" s="87"/>
      <c r="X368" s="11"/>
    </row>
    <row r="369" spans="2:24" x14ac:dyDescent="0.25">
      <c r="B369" s="14"/>
      <c r="C369" s="14"/>
      <c r="H369" s="14"/>
      <c r="M369" s="14"/>
      <c r="N369" s="15"/>
      <c r="O369" s="14"/>
      <c r="R369" s="14"/>
      <c r="S369" s="15"/>
      <c r="T369" s="14"/>
      <c r="W369" s="87"/>
      <c r="X369" s="11"/>
    </row>
    <row r="370" spans="2:24" x14ac:dyDescent="0.25">
      <c r="B370" s="14"/>
      <c r="C370" s="14"/>
      <c r="H370" s="14"/>
      <c r="M370" s="14"/>
      <c r="N370" s="15"/>
      <c r="O370" s="14"/>
      <c r="R370" s="14"/>
      <c r="S370" s="15"/>
      <c r="T370" s="14"/>
      <c r="W370" s="87"/>
      <c r="X370" s="11"/>
    </row>
    <row r="371" spans="2:24" x14ac:dyDescent="0.25">
      <c r="B371" s="14"/>
      <c r="C371" s="14"/>
      <c r="H371" s="14"/>
      <c r="M371" s="14"/>
      <c r="N371" s="15"/>
      <c r="O371" s="14"/>
      <c r="R371" s="14"/>
      <c r="S371" s="15"/>
      <c r="T371" s="14"/>
      <c r="W371" s="87"/>
      <c r="X371" s="11"/>
    </row>
    <row r="372" spans="2:24" x14ac:dyDescent="0.25">
      <c r="B372" s="14"/>
      <c r="C372" s="14"/>
      <c r="H372" s="14"/>
      <c r="M372" s="14"/>
      <c r="N372" s="15"/>
      <c r="O372" s="14"/>
      <c r="R372" s="14"/>
      <c r="S372" s="15"/>
      <c r="T372" s="14"/>
      <c r="W372" s="87"/>
      <c r="X372" s="11"/>
    </row>
    <row r="373" spans="2:24" x14ac:dyDescent="0.25">
      <c r="B373" s="14"/>
      <c r="C373" s="14"/>
      <c r="H373" s="14"/>
      <c r="M373" s="14"/>
      <c r="N373" s="15"/>
      <c r="O373" s="14"/>
      <c r="R373" s="14"/>
      <c r="S373" s="15"/>
      <c r="T373" s="14"/>
      <c r="W373" s="87"/>
      <c r="X373" s="11"/>
    </row>
    <row r="374" spans="2:24" x14ac:dyDescent="0.25">
      <c r="B374" s="14"/>
      <c r="C374" s="14"/>
      <c r="H374" s="14"/>
      <c r="M374" s="14"/>
      <c r="N374" s="15"/>
      <c r="O374" s="14"/>
      <c r="R374" s="14"/>
      <c r="S374" s="15"/>
      <c r="T374" s="14"/>
      <c r="W374" s="87"/>
      <c r="X374" s="11"/>
    </row>
    <row r="375" spans="2:24" x14ac:dyDescent="0.25">
      <c r="B375" s="14"/>
      <c r="C375" s="14"/>
      <c r="H375" s="14"/>
      <c r="M375" s="14"/>
      <c r="N375" s="15"/>
      <c r="O375" s="14"/>
      <c r="R375" s="14"/>
      <c r="S375" s="15"/>
      <c r="T375" s="14"/>
      <c r="W375" s="87"/>
      <c r="X375" s="11"/>
    </row>
    <row r="376" spans="2:24" x14ac:dyDescent="0.25">
      <c r="B376" s="14"/>
      <c r="C376" s="14"/>
      <c r="H376" s="14"/>
      <c r="M376" s="14"/>
      <c r="N376" s="15"/>
      <c r="O376" s="14"/>
      <c r="R376" s="14"/>
      <c r="S376" s="15"/>
      <c r="T376" s="14"/>
      <c r="W376" s="87"/>
      <c r="X376" s="11"/>
    </row>
    <row r="377" spans="2:24" x14ac:dyDescent="0.25">
      <c r="B377" s="14"/>
      <c r="C377" s="14"/>
      <c r="H377" s="14"/>
      <c r="M377" s="14"/>
      <c r="N377" s="15"/>
      <c r="O377" s="14"/>
      <c r="R377" s="14"/>
      <c r="S377" s="15"/>
      <c r="T377" s="14"/>
      <c r="W377" s="87"/>
      <c r="X377" s="11"/>
    </row>
    <row r="378" spans="2:24" x14ac:dyDescent="0.25">
      <c r="B378" s="14"/>
      <c r="C378" s="14"/>
      <c r="H378" s="14"/>
      <c r="M378" s="14"/>
      <c r="N378" s="15"/>
      <c r="O378" s="14"/>
      <c r="R378" s="14"/>
      <c r="S378" s="15"/>
      <c r="T378" s="14"/>
      <c r="W378" s="87"/>
      <c r="X378" s="11"/>
    </row>
    <row r="379" spans="2:24" x14ac:dyDescent="0.25">
      <c r="B379" s="14"/>
      <c r="C379" s="14"/>
      <c r="H379" s="14"/>
      <c r="M379" s="14"/>
      <c r="N379" s="15"/>
      <c r="O379" s="14"/>
      <c r="R379" s="14"/>
      <c r="S379" s="15"/>
      <c r="T379" s="14"/>
      <c r="W379" s="87"/>
      <c r="X379" s="11"/>
    </row>
    <row r="380" spans="2:24" x14ac:dyDescent="0.25">
      <c r="B380" s="14"/>
      <c r="C380" s="14"/>
      <c r="H380" s="14"/>
      <c r="M380" s="14"/>
      <c r="N380" s="15"/>
      <c r="O380" s="14"/>
      <c r="R380" s="14"/>
      <c r="S380" s="15"/>
      <c r="T380" s="14"/>
      <c r="W380" s="87"/>
      <c r="X380" s="11"/>
    </row>
    <row r="381" spans="2:24" x14ac:dyDescent="0.25">
      <c r="B381" s="14"/>
      <c r="C381" s="14"/>
      <c r="H381" s="14"/>
      <c r="M381" s="14"/>
      <c r="N381" s="15"/>
      <c r="O381" s="14"/>
      <c r="R381" s="14"/>
      <c r="S381" s="15"/>
      <c r="T381" s="14"/>
      <c r="W381" s="87"/>
      <c r="X381" s="11"/>
    </row>
    <row r="382" spans="2:24" x14ac:dyDescent="0.25">
      <c r="B382" s="14"/>
      <c r="C382" s="14"/>
      <c r="H382" s="14"/>
      <c r="M382" s="14"/>
      <c r="N382" s="15"/>
      <c r="O382" s="14"/>
      <c r="R382" s="14"/>
      <c r="S382" s="15"/>
      <c r="T382" s="14"/>
      <c r="W382" s="87"/>
      <c r="X382" s="11"/>
    </row>
    <row r="383" spans="2:24" x14ac:dyDescent="0.25">
      <c r="B383" s="14"/>
      <c r="C383" s="14"/>
      <c r="H383" s="14"/>
      <c r="M383" s="14"/>
      <c r="N383" s="15"/>
      <c r="O383" s="14"/>
      <c r="R383" s="14"/>
      <c r="S383" s="15"/>
      <c r="T383" s="14"/>
      <c r="W383" s="87"/>
      <c r="X383" s="11"/>
    </row>
    <row r="384" spans="2:24" x14ac:dyDescent="0.25">
      <c r="B384" s="14"/>
      <c r="C384" s="14"/>
      <c r="H384" s="14"/>
      <c r="M384" s="14"/>
      <c r="N384" s="15"/>
      <c r="O384" s="14"/>
      <c r="R384" s="14"/>
      <c r="S384" s="15"/>
      <c r="T384" s="14"/>
      <c r="W384" s="87"/>
      <c r="X384" s="11"/>
    </row>
    <row r="385" spans="2:24" x14ac:dyDescent="0.25">
      <c r="B385" s="14"/>
      <c r="C385" s="14"/>
      <c r="H385" s="14"/>
      <c r="M385" s="14"/>
      <c r="N385" s="15"/>
      <c r="O385" s="14"/>
      <c r="R385" s="14"/>
      <c r="S385" s="15"/>
      <c r="T385" s="14"/>
      <c r="W385" s="87"/>
      <c r="X385" s="11"/>
    </row>
    <row r="386" spans="2:24" x14ac:dyDescent="0.25">
      <c r="B386" s="14"/>
      <c r="C386" s="14"/>
      <c r="H386" s="14"/>
      <c r="M386" s="14"/>
      <c r="N386" s="15"/>
      <c r="O386" s="14"/>
      <c r="R386" s="14"/>
      <c r="S386" s="15"/>
      <c r="T386" s="14"/>
      <c r="W386" s="87"/>
      <c r="X386" s="11"/>
    </row>
    <row r="387" spans="2:24" x14ac:dyDescent="0.25">
      <c r="B387" s="14"/>
      <c r="C387" s="14"/>
      <c r="H387" s="14"/>
      <c r="M387" s="14"/>
      <c r="N387" s="15"/>
      <c r="O387" s="14"/>
      <c r="R387" s="14"/>
      <c r="S387" s="15"/>
      <c r="T387" s="14"/>
      <c r="W387" s="87"/>
      <c r="X387" s="11"/>
    </row>
    <row r="388" spans="2:24" x14ac:dyDescent="0.25">
      <c r="B388" s="14"/>
      <c r="C388" s="14"/>
      <c r="H388" s="14"/>
      <c r="M388" s="14"/>
      <c r="N388" s="15"/>
      <c r="O388" s="14"/>
      <c r="R388" s="14"/>
      <c r="S388" s="15"/>
      <c r="T388" s="14"/>
      <c r="W388" s="87"/>
      <c r="X388" s="11"/>
    </row>
    <row r="389" spans="2:24" x14ac:dyDescent="0.25">
      <c r="B389" s="14"/>
      <c r="C389" s="14"/>
      <c r="H389" s="14"/>
      <c r="M389" s="14"/>
      <c r="N389" s="15"/>
      <c r="O389" s="14"/>
      <c r="R389" s="14"/>
      <c r="S389" s="15"/>
      <c r="T389" s="14"/>
      <c r="W389" s="87"/>
      <c r="X389" s="11"/>
    </row>
    <row r="390" spans="2:24" x14ac:dyDescent="0.25">
      <c r="B390" s="14"/>
      <c r="C390" s="14"/>
      <c r="H390" s="14"/>
      <c r="M390" s="14"/>
      <c r="N390" s="15"/>
      <c r="O390" s="14"/>
      <c r="R390" s="14"/>
      <c r="S390" s="15"/>
      <c r="T390" s="14"/>
      <c r="W390" s="87"/>
      <c r="X390" s="11"/>
    </row>
    <row r="391" spans="2:24" x14ac:dyDescent="0.25">
      <c r="B391" s="14"/>
      <c r="C391" s="14"/>
      <c r="H391" s="14"/>
      <c r="M391" s="14"/>
      <c r="N391" s="15"/>
      <c r="O391" s="14"/>
      <c r="R391" s="14"/>
      <c r="S391" s="15"/>
      <c r="T391" s="14"/>
      <c r="W391" s="87"/>
      <c r="X391" s="11"/>
    </row>
    <row r="392" spans="2:24" x14ac:dyDescent="0.25">
      <c r="B392" s="14"/>
      <c r="C392" s="14"/>
      <c r="H392" s="14"/>
      <c r="M392" s="14"/>
      <c r="N392" s="15"/>
      <c r="O392" s="14"/>
      <c r="R392" s="14"/>
      <c r="S392" s="15"/>
      <c r="T392" s="14"/>
      <c r="W392" s="87"/>
      <c r="X392" s="11"/>
    </row>
    <row r="393" spans="2:24" x14ac:dyDescent="0.25">
      <c r="B393" s="14"/>
      <c r="C393" s="14"/>
      <c r="H393" s="14"/>
      <c r="M393" s="14"/>
      <c r="N393" s="15"/>
      <c r="O393" s="14"/>
      <c r="R393" s="14"/>
      <c r="S393" s="15"/>
      <c r="T393" s="14"/>
      <c r="W393" s="87"/>
      <c r="X393" s="11"/>
    </row>
    <row r="394" spans="2:24" x14ac:dyDescent="0.25">
      <c r="B394" s="14"/>
      <c r="C394" s="14"/>
      <c r="H394" s="14"/>
      <c r="M394" s="14"/>
      <c r="N394" s="15"/>
      <c r="O394" s="14"/>
      <c r="R394" s="14"/>
      <c r="S394" s="15"/>
      <c r="T394" s="14"/>
      <c r="W394" s="87"/>
      <c r="X394" s="11"/>
    </row>
    <row r="395" spans="2:24" x14ac:dyDescent="0.25">
      <c r="B395" s="14"/>
      <c r="C395" s="14"/>
      <c r="H395" s="14"/>
      <c r="M395" s="14"/>
      <c r="N395" s="15"/>
      <c r="O395" s="14"/>
      <c r="R395" s="14"/>
      <c r="S395" s="15"/>
      <c r="T395" s="14"/>
      <c r="W395" s="87"/>
      <c r="X395" s="11"/>
    </row>
    <row r="396" spans="2:24" x14ac:dyDescent="0.25">
      <c r="B396" s="14"/>
      <c r="C396" s="14"/>
      <c r="H396" s="14"/>
      <c r="M396" s="14"/>
      <c r="N396" s="15"/>
      <c r="O396" s="14"/>
      <c r="R396" s="14"/>
      <c r="S396" s="15"/>
      <c r="T396" s="14"/>
      <c r="W396" s="87"/>
      <c r="X396" s="11"/>
    </row>
    <row r="397" spans="2:24" x14ac:dyDescent="0.25">
      <c r="B397" s="14"/>
      <c r="C397" s="14"/>
      <c r="H397" s="14"/>
      <c r="M397" s="14"/>
      <c r="N397" s="15"/>
      <c r="O397" s="14"/>
      <c r="R397" s="14"/>
      <c r="S397" s="15"/>
      <c r="T397" s="14"/>
      <c r="W397" s="14"/>
      <c r="X397" s="14"/>
    </row>
    <row r="398" spans="2:24" x14ac:dyDescent="0.25">
      <c r="B398" s="14"/>
      <c r="C398" s="14"/>
      <c r="H398" s="14"/>
      <c r="M398" s="14"/>
      <c r="N398" s="15"/>
      <c r="O398" s="14"/>
      <c r="R398" s="14"/>
      <c r="S398" s="15"/>
      <c r="T398" s="14"/>
      <c r="W398" s="14"/>
      <c r="X398" s="14"/>
    </row>
    <row r="399" spans="2:24" x14ac:dyDescent="0.25">
      <c r="B399" s="14"/>
      <c r="C399" s="14"/>
      <c r="H399" s="14"/>
      <c r="M399" s="14"/>
      <c r="N399" s="15"/>
      <c r="O399" s="14"/>
      <c r="R399" s="14"/>
      <c r="S399" s="15"/>
      <c r="T399" s="14"/>
      <c r="W399" s="14"/>
      <c r="X399" s="14"/>
    </row>
    <row r="400" spans="2:24" x14ac:dyDescent="0.25">
      <c r="B400" s="14"/>
      <c r="C400" s="14"/>
      <c r="H400" s="14"/>
      <c r="M400" s="14"/>
      <c r="N400" s="15"/>
      <c r="O400" s="14"/>
      <c r="R400" s="14"/>
      <c r="S400" s="15"/>
      <c r="T400" s="14"/>
      <c r="W400" s="14"/>
      <c r="X400" s="14"/>
    </row>
    <row r="401" spans="2:24" x14ac:dyDescent="0.25">
      <c r="B401" s="14"/>
      <c r="C401" s="14"/>
      <c r="H401" s="14"/>
      <c r="M401" s="14"/>
      <c r="N401" s="15"/>
      <c r="O401" s="14"/>
      <c r="R401" s="14"/>
      <c r="S401" s="15"/>
      <c r="T401" s="14"/>
      <c r="W401" s="14"/>
      <c r="X401" s="14"/>
    </row>
    <row r="402" spans="2:24" x14ac:dyDescent="0.25">
      <c r="B402" s="14"/>
      <c r="C402" s="14"/>
      <c r="H402" s="14"/>
      <c r="M402" s="14"/>
      <c r="N402" s="15"/>
      <c r="O402" s="14"/>
      <c r="R402" s="14"/>
      <c r="S402" s="15"/>
      <c r="T402" s="14"/>
      <c r="W402" s="14"/>
      <c r="X402" s="14"/>
    </row>
    <row r="403" spans="2:24" x14ac:dyDescent="0.25">
      <c r="B403" s="14"/>
      <c r="C403" s="14"/>
      <c r="H403" s="14"/>
      <c r="M403" s="14"/>
      <c r="N403" s="15"/>
      <c r="O403" s="14"/>
      <c r="R403" s="14"/>
      <c r="S403" s="15"/>
      <c r="T403" s="14"/>
      <c r="W403" s="14"/>
      <c r="X403" s="14"/>
    </row>
    <row r="404" spans="2:24" x14ac:dyDescent="0.25">
      <c r="B404" s="14"/>
      <c r="C404" s="14"/>
      <c r="H404" s="14"/>
      <c r="M404" s="14"/>
      <c r="N404" s="15"/>
      <c r="O404" s="14"/>
      <c r="R404" s="14"/>
      <c r="S404" s="15"/>
      <c r="T404" s="14"/>
      <c r="W404" s="14"/>
      <c r="X404" s="14"/>
    </row>
    <row r="405" spans="2:24" x14ac:dyDescent="0.25">
      <c r="B405" s="14"/>
      <c r="C405" s="14"/>
      <c r="H405" s="14"/>
      <c r="M405" s="14"/>
      <c r="N405" s="15"/>
      <c r="O405" s="14"/>
      <c r="R405" s="14"/>
      <c r="S405" s="15"/>
      <c r="T405" s="14"/>
      <c r="W405" s="14"/>
      <c r="X405" s="14"/>
    </row>
    <row r="406" spans="2:24" x14ac:dyDescent="0.25">
      <c r="B406" s="14"/>
      <c r="C406" s="14"/>
      <c r="H406" s="14"/>
      <c r="M406" s="14"/>
      <c r="N406" s="15"/>
      <c r="O406" s="14"/>
      <c r="R406" s="14"/>
      <c r="S406" s="15"/>
      <c r="T406" s="14"/>
      <c r="W406" s="14"/>
      <c r="X406" s="14"/>
    </row>
    <row r="407" spans="2:24" x14ac:dyDescent="0.25">
      <c r="B407" s="14"/>
      <c r="C407" s="14"/>
      <c r="H407" s="14"/>
      <c r="M407" s="14"/>
      <c r="N407" s="15"/>
      <c r="O407" s="14"/>
      <c r="R407" s="14"/>
      <c r="S407" s="15"/>
      <c r="T407" s="14"/>
      <c r="W407" s="14"/>
      <c r="X407" s="14"/>
    </row>
    <row r="408" spans="2:24" x14ac:dyDescent="0.25">
      <c r="B408" s="14"/>
      <c r="C408" s="14"/>
      <c r="H408" s="14"/>
      <c r="M408" s="14"/>
      <c r="N408" s="15"/>
      <c r="O408" s="14"/>
      <c r="R408" s="14"/>
      <c r="S408" s="15"/>
      <c r="T408" s="14"/>
      <c r="W408" s="14"/>
      <c r="X408" s="14"/>
    </row>
    <row r="409" spans="2:24" x14ac:dyDescent="0.25">
      <c r="B409" s="14"/>
      <c r="C409" s="14"/>
      <c r="H409" s="14"/>
      <c r="M409" s="14"/>
      <c r="N409" s="15"/>
      <c r="O409" s="14"/>
      <c r="R409" s="14"/>
      <c r="S409" s="15"/>
      <c r="T409" s="14"/>
      <c r="W409" s="14"/>
      <c r="X409" s="14"/>
    </row>
    <row r="410" spans="2:24" x14ac:dyDescent="0.25">
      <c r="B410" s="14"/>
      <c r="C410" s="14"/>
      <c r="H410" s="14"/>
      <c r="M410" s="14"/>
      <c r="N410" s="15"/>
      <c r="O410" s="14"/>
      <c r="R410" s="14"/>
      <c r="S410" s="15"/>
      <c r="T410" s="14"/>
      <c r="W410" s="14"/>
      <c r="X410" s="14"/>
    </row>
    <row r="411" spans="2:24" x14ac:dyDescent="0.25">
      <c r="B411" s="14"/>
      <c r="C411" s="14"/>
      <c r="H411" s="14"/>
      <c r="M411" s="14"/>
      <c r="N411" s="15"/>
      <c r="O411" s="14"/>
      <c r="R411" s="14"/>
      <c r="S411" s="15"/>
      <c r="T411" s="14"/>
      <c r="W411" s="14"/>
      <c r="X411" s="14"/>
    </row>
    <row r="412" spans="2:24" x14ac:dyDescent="0.25">
      <c r="B412" s="14"/>
      <c r="C412" s="14"/>
      <c r="H412" s="14"/>
      <c r="M412" s="14"/>
      <c r="N412" s="15"/>
      <c r="O412" s="14"/>
      <c r="R412" s="14"/>
      <c r="S412" s="15"/>
      <c r="T412" s="14"/>
      <c r="W412" s="14"/>
      <c r="X412" s="14"/>
    </row>
    <row r="413" spans="2:24" x14ac:dyDescent="0.25">
      <c r="B413" s="14"/>
      <c r="C413" s="14"/>
      <c r="H413" s="14"/>
      <c r="M413" s="14"/>
      <c r="N413" s="15"/>
      <c r="O413" s="14"/>
      <c r="R413" s="14"/>
      <c r="S413" s="15"/>
      <c r="T413" s="14"/>
      <c r="W413" s="14"/>
      <c r="X413" s="14"/>
    </row>
    <row r="414" spans="2:24" x14ac:dyDescent="0.25">
      <c r="B414" s="14"/>
      <c r="C414" s="14"/>
      <c r="H414" s="14"/>
      <c r="M414" s="14"/>
      <c r="N414" s="15"/>
      <c r="O414" s="14"/>
      <c r="R414" s="14"/>
      <c r="S414" s="15"/>
      <c r="T414" s="14"/>
      <c r="W414" s="14"/>
      <c r="X414" s="14"/>
    </row>
    <row r="415" spans="2:24" x14ac:dyDescent="0.25">
      <c r="B415" s="14"/>
      <c r="C415" s="14"/>
      <c r="H415" s="14"/>
      <c r="M415" s="14"/>
      <c r="N415" s="15"/>
      <c r="O415" s="14"/>
      <c r="R415" s="14"/>
      <c r="S415" s="15"/>
      <c r="T415" s="14"/>
      <c r="W415" s="14"/>
      <c r="X415" s="14"/>
    </row>
    <row r="416" spans="2:24" x14ac:dyDescent="0.25">
      <c r="B416" s="14"/>
      <c r="C416" s="14"/>
      <c r="H416" s="14"/>
      <c r="M416" s="14"/>
      <c r="N416" s="15"/>
      <c r="O416" s="14"/>
      <c r="R416" s="14"/>
      <c r="S416" s="15"/>
      <c r="T416" s="14"/>
      <c r="W416" s="14"/>
      <c r="X416" s="14"/>
    </row>
    <row r="417" spans="2:24" x14ac:dyDescent="0.25">
      <c r="B417" s="14"/>
      <c r="C417" s="14"/>
      <c r="H417" s="14"/>
      <c r="M417" s="14"/>
      <c r="N417" s="15"/>
      <c r="O417" s="14"/>
      <c r="R417" s="14"/>
      <c r="S417" s="15"/>
      <c r="T417" s="14"/>
      <c r="W417" s="14"/>
      <c r="X417" s="14"/>
    </row>
    <row r="418" spans="2:24" x14ac:dyDescent="0.25">
      <c r="B418" s="14"/>
      <c r="C418" s="14"/>
      <c r="H418" s="14"/>
      <c r="M418" s="14"/>
      <c r="N418" s="15"/>
      <c r="O418" s="14"/>
      <c r="R418" s="14"/>
      <c r="S418" s="15"/>
      <c r="T418" s="14"/>
      <c r="W418" s="14"/>
      <c r="X418" s="14"/>
    </row>
    <row r="419" spans="2:24" x14ac:dyDescent="0.25">
      <c r="B419" s="14"/>
      <c r="C419" s="14"/>
      <c r="H419" s="14"/>
      <c r="M419" s="14"/>
      <c r="N419" s="15"/>
      <c r="O419" s="14"/>
      <c r="R419" s="14"/>
      <c r="S419" s="15"/>
      <c r="T419" s="14"/>
      <c r="W419" s="14"/>
      <c r="X419" s="14"/>
    </row>
    <row r="420" spans="2:24" x14ac:dyDescent="0.25">
      <c r="B420" s="14"/>
      <c r="C420" s="14"/>
      <c r="H420" s="14"/>
      <c r="M420" s="14"/>
      <c r="N420" s="15"/>
      <c r="O420" s="14"/>
      <c r="R420" s="14"/>
      <c r="S420" s="15"/>
      <c r="T420" s="14"/>
      <c r="W420" s="14"/>
      <c r="X420" s="14"/>
    </row>
    <row r="421" spans="2:24" x14ac:dyDescent="0.25">
      <c r="B421" s="14"/>
      <c r="C421" s="14"/>
      <c r="H421" s="14"/>
      <c r="M421" s="14"/>
      <c r="N421" s="15"/>
      <c r="O421" s="14"/>
      <c r="R421" s="14"/>
      <c r="S421" s="15"/>
      <c r="T421" s="14"/>
      <c r="W421" s="14"/>
      <c r="X421" s="14"/>
    </row>
    <row r="422" spans="2:24" x14ac:dyDescent="0.25">
      <c r="B422" s="14"/>
      <c r="C422" s="14"/>
      <c r="H422" s="14"/>
      <c r="M422" s="14"/>
      <c r="N422" s="15"/>
      <c r="O422" s="14"/>
      <c r="R422" s="14"/>
      <c r="S422" s="15"/>
      <c r="T422" s="14"/>
      <c r="W422" s="14"/>
      <c r="X422" s="14"/>
    </row>
    <row r="423" spans="2:24" x14ac:dyDescent="0.25">
      <c r="B423" s="14"/>
      <c r="C423" s="14"/>
      <c r="H423" s="14"/>
      <c r="M423" s="14"/>
      <c r="N423" s="15"/>
      <c r="O423" s="14"/>
      <c r="R423" s="14"/>
      <c r="S423" s="15"/>
      <c r="T423" s="14"/>
      <c r="W423" s="14"/>
      <c r="X423" s="14"/>
    </row>
    <row r="424" spans="2:24" x14ac:dyDescent="0.25">
      <c r="B424" s="14"/>
      <c r="C424" s="14"/>
      <c r="H424" s="14"/>
      <c r="M424" s="14"/>
      <c r="N424" s="15"/>
      <c r="O424" s="14"/>
      <c r="R424" s="14"/>
      <c r="S424" s="15"/>
      <c r="T424" s="14"/>
      <c r="W424" s="14"/>
      <c r="X424" s="14"/>
    </row>
    <row r="425" spans="2:24" x14ac:dyDescent="0.25">
      <c r="B425" s="14"/>
      <c r="C425" s="14"/>
      <c r="H425" s="14"/>
      <c r="M425" s="14"/>
      <c r="N425" s="15"/>
      <c r="O425" s="14"/>
      <c r="R425" s="14"/>
      <c r="S425" s="15"/>
      <c r="T425" s="14"/>
      <c r="W425" s="14"/>
      <c r="X425" s="14"/>
    </row>
    <row r="426" spans="2:24" x14ac:dyDescent="0.25">
      <c r="B426" s="14"/>
      <c r="C426" s="14"/>
      <c r="H426" s="14"/>
      <c r="M426" s="14"/>
      <c r="N426" s="15"/>
      <c r="O426" s="14"/>
      <c r="R426" s="14"/>
      <c r="S426" s="15"/>
      <c r="T426" s="14"/>
      <c r="W426" s="14"/>
      <c r="X426" s="14"/>
    </row>
    <row r="427" spans="2:24" x14ac:dyDescent="0.25">
      <c r="B427" s="14"/>
      <c r="C427" s="14"/>
      <c r="H427" s="14"/>
      <c r="M427" s="14"/>
      <c r="N427" s="15"/>
      <c r="O427" s="14"/>
      <c r="R427" s="14"/>
      <c r="S427" s="15"/>
      <c r="T427" s="14"/>
      <c r="W427" s="14"/>
      <c r="X427" s="14"/>
    </row>
    <row r="428" spans="2:24" x14ac:dyDescent="0.25">
      <c r="B428" s="14"/>
      <c r="C428" s="14"/>
      <c r="H428" s="14"/>
      <c r="M428" s="14"/>
      <c r="N428" s="15"/>
      <c r="O428" s="14"/>
      <c r="R428" s="14"/>
      <c r="S428" s="15"/>
      <c r="T428" s="14"/>
      <c r="W428" s="14"/>
      <c r="X428" s="14"/>
    </row>
    <row r="429" spans="2:24" x14ac:dyDescent="0.25">
      <c r="B429" s="14"/>
      <c r="C429" s="14"/>
      <c r="H429" s="14"/>
      <c r="M429" s="14"/>
      <c r="N429" s="15"/>
      <c r="O429" s="14"/>
      <c r="R429" s="14"/>
      <c r="S429" s="15"/>
      <c r="T429" s="14"/>
      <c r="W429" s="14"/>
      <c r="X429" s="14"/>
    </row>
    <row r="430" spans="2:24" x14ac:dyDescent="0.25">
      <c r="B430" s="14"/>
      <c r="C430" s="14"/>
      <c r="H430" s="14"/>
      <c r="M430" s="14"/>
      <c r="N430" s="15"/>
      <c r="O430" s="14"/>
      <c r="R430" s="14"/>
      <c r="S430" s="15"/>
      <c r="T430" s="14"/>
      <c r="W430" s="14"/>
      <c r="X430" s="14"/>
    </row>
    <row r="431" spans="2:24" x14ac:dyDescent="0.25">
      <c r="B431" s="14"/>
      <c r="C431" s="14"/>
      <c r="H431" s="14"/>
      <c r="M431" s="14"/>
      <c r="N431" s="15"/>
      <c r="O431" s="14"/>
      <c r="R431" s="14"/>
      <c r="S431" s="15"/>
      <c r="T431" s="14"/>
      <c r="W431" s="14"/>
      <c r="X431" s="14"/>
    </row>
    <row r="432" spans="2:24" x14ac:dyDescent="0.25">
      <c r="B432" s="14"/>
      <c r="C432" s="14"/>
      <c r="H432" s="14"/>
      <c r="M432" s="14"/>
      <c r="N432" s="15"/>
      <c r="O432" s="14"/>
      <c r="R432" s="14"/>
      <c r="S432" s="15"/>
      <c r="T432" s="14"/>
      <c r="W432" s="14"/>
      <c r="X432" s="14"/>
    </row>
    <row r="433" spans="2:24" x14ac:dyDescent="0.25">
      <c r="B433" s="14"/>
      <c r="C433" s="14"/>
      <c r="H433" s="14"/>
      <c r="M433" s="14"/>
      <c r="N433" s="15"/>
      <c r="O433" s="14"/>
      <c r="R433" s="14"/>
      <c r="S433" s="15"/>
      <c r="T433" s="14"/>
      <c r="W433" s="14"/>
      <c r="X433" s="14"/>
    </row>
    <row r="434" spans="2:24" x14ac:dyDescent="0.25">
      <c r="B434" s="14"/>
      <c r="C434" s="14"/>
      <c r="H434" s="14"/>
      <c r="M434" s="14"/>
      <c r="N434" s="15"/>
      <c r="O434" s="14"/>
      <c r="R434" s="14"/>
      <c r="S434" s="15"/>
      <c r="T434" s="14"/>
      <c r="W434" s="14"/>
      <c r="X434" s="14"/>
    </row>
    <row r="435" spans="2:24" x14ac:dyDescent="0.25">
      <c r="B435" s="14"/>
      <c r="C435" s="14"/>
      <c r="H435" s="14"/>
      <c r="M435" s="14"/>
      <c r="N435" s="15"/>
      <c r="O435" s="14"/>
      <c r="R435" s="14"/>
      <c r="S435" s="15"/>
      <c r="T435" s="14"/>
      <c r="W435" s="14"/>
      <c r="X435" s="14"/>
    </row>
    <row r="436" spans="2:24" x14ac:dyDescent="0.25">
      <c r="B436" s="14"/>
      <c r="C436" s="14"/>
      <c r="H436" s="14"/>
      <c r="M436" s="14"/>
      <c r="N436" s="15"/>
      <c r="O436" s="14"/>
      <c r="R436" s="14"/>
      <c r="S436" s="15"/>
      <c r="T436" s="14"/>
      <c r="W436" s="14"/>
      <c r="X436" s="14"/>
    </row>
    <row r="437" spans="2:24" x14ac:dyDescent="0.25">
      <c r="B437" s="14"/>
      <c r="C437" s="14"/>
      <c r="H437" s="14"/>
      <c r="M437" s="14"/>
      <c r="N437" s="15"/>
      <c r="O437" s="14"/>
      <c r="R437" s="14"/>
      <c r="S437" s="15"/>
      <c r="T437" s="14"/>
      <c r="W437" s="14"/>
      <c r="X437" s="14"/>
    </row>
    <row r="438" spans="2:24" x14ac:dyDescent="0.25">
      <c r="B438" s="14"/>
      <c r="C438" s="14"/>
      <c r="H438" s="14"/>
      <c r="M438" s="14"/>
      <c r="N438" s="15"/>
      <c r="O438" s="14"/>
      <c r="R438" s="14"/>
      <c r="S438" s="15"/>
      <c r="T438" s="14"/>
      <c r="W438" s="14"/>
      <c r="X438" s="14"/>
    </row>
    <row r="439" spans="2:24" x14ac:dyDescent="0.25">
      <c r="B439" s="14"/>
      <c r="C439" s="14"/>
      <c r="H439" s="14"/>
      <c r="M439" s="14"/>
      <c r="N439" s="15"/>
      <c r="O439" s="14"/>
      <c r="R439" s="14"/>
      <c r="S439" s="15"/>
      <c r="T439" s="14"/>
      <c r="W439" s="14"/>
      <c r="X439" s="14"/>
    </row>
    <row r="440" spans="2:24" x14ac:dyDescent="0.25">
      <c r="B440" s="14"/>
      <c r="C440" s="14"/>
      <c r="H440" s="14"/>
      <c r="M440" s="14"/>
      <c r="N440" s="15"/>
      <c r="O440" s="14"/>
      <c r="R440" s="14"/>
      <c r="S440" s="15"/>
      <c r="T440" s="14"/>
      <c r="W440" s="14"/>
      <c r="X440" s="14"/>
    </row>
    <row r="441" spans="2:24" x14ac:dyDescent="0.25">
      <c r="B441" s="14"/>
      <c r="C441" s="14"/>
      <c r="H441" s="14"/>
      <c r="M441" s="14"/>
      <c r="N441" s="15"/>
      <c r="O441" s="14"/>
      <c r="R441" s="14"/>
      <c r="S441" s="15"/>
      <c r="T441" s="14"/>
      <c r="W441" s="14"/>
      <c r="X441" s="14"/>
    </row>
    <row r="442" spans="2:24" x14ac:dyDescent="0.25">
      <c r="B442" s="14"/>
      <c r="C442" s="14"/>
      <c r="H442" s="14"/>
      <c r="M442" s="14"/>
      <c r="N442" s="15"/>
      <c r="O442" s="14"/>
      <c r="R442" s="14"/>
      <c r="S442" s="15"/>
      <c r="T442" s="14"/>
      <c r="W442" s="14"/>
      <c r="X442" s="14"/>
    </row>
    <row r="443" spans="2:24" x14ac:dyDescent="0.25">
      <c r="B443" s="14"/>
      <c r="C443" s="14"/>
      <c r="H443" s="14"/>
      <c r="M443" s="14"/>
      <c r="N443" s="15"/>
      <c r="O443" s="14"/>
      <c r="R443" s="14"/>
      <c r="S443" s="15"/>
      <c r="T443" s="14"/>
      <c r="W443" s="14"/>
      <c r="X443" s="14"/>
    </row>
    <row r="444" spans="2:24" x14ac:dyDescent="0.25">
      <c r="B444" s="14"/>
      <c r="C444" s="14"/>
      <c r="H444" s="14"/>
      <c r="M444" s="14"/>
      <c r="N444" s="15"/>
      <c r="O444" s="14"/>
      <c r="R444" s="14"/>
      <c r="S444" s="15"/>
      <c r="T444" s="14"/>
      <c r="W444" s="14"/>
      <c r="X444" s="14"/>
    </row>
    <row r="445" spans="2:24" x14ac:dyDescent="0.25">
      <c r="B445" s="14"/>
      <c r="C445" s="14"/>
      <c r="H445" s="14"/>
      <c r="M445" s="14"/>
      <c r="N445" s="15"/>
      <c r="O445" s="14"/>
      <c r="R445" s="14"/>
      <c r="S445" s="15"/>
      <c r="T445" s="14"/>
      <c r="W445" s="14"/>
      <c r="X445" s="14"/>
    </row>
    <row r="446" spans="2:24" x14ac:dyDescent="0.25">
      <c r="B446" s="14"/>
      <c r="C446" s="14"/>
      <c r="H446" s="14"/>
      <c r="M446" s="14"/>
      <c r="N446" s="15"/>
      <c r="O446" s="14"/>
      <c r="R446" s="14"/>
      <c r="S446" s="15"/>
      <c r="T446" s="14"/>
      <c r="W446" s="14"/>
      <c r="X446" s="14"/>
    </row>
    <row r="447" spans="2:24" x14ac:dyDescent="0.25">
      <c r="B447" s="14"/>
      <c r="C447" s="14"/>
      <c r="H447" s="14"/>
      <c r="M447" s="14"/>
      <c r="N447" s="15"/>
      <c r="O447" s="14"/>
      <c r="R447" s="14"/>
      <c r="S447" s="15"/>
      <c r="T447" s="14"/>
      <c r="W447" s="14"/>
      <c r="X447" s="14"/>
    </row>
    <row r="448" spans="2:24" x14ac:dyDescent="0.25">
      <c r="B448" s="14"/>
      <c r="C448" s="14"/>
      <c r="H448" s="14"/>
      <c r="M448" s="14"/>
      <c r="N448" s="15"/>
      <c r="O448" s="14"/>
      <c r="R448" s="14"/>
      <c r="S448" s="15"/>
      <c r="T448" s="14"/>
      <c r="W448" s="14"/>
      <c r="X448" s="14"/>
    </row>
    <row r="449" spans="2:24" x14ac:dyDescent="0.25">
      <c r="B449" s="14"/>
      <c r="C449" s="14"/>
      <c r="H449" s="14"/>
      <c r="M449" s="14"/>
      <c r="N449" s="15"/>
      <c r="O449" s="14"/>
      <c r="R449" s="14"/>
      <c r="S449" s="15"/>
      <c r="T449" s="14"/>
      <c r="W449" s="14"/>
      <c r="X449" s="14"/>
    </row>
    <row r="450" spans="2:24" x14ac:dyDescent="0.25">
      <c r="B450" s="14"/>
      <c r="C450" s="14"/>
      <c r="H450" s="14"/>
      <c r="M450" s="14"/>
      <c r="N450" s="15"/>
      <c r="O450" s="14"/>
      <c r="R450" s="14"/>
      <c r="S450" s="15"/>
      <c r="T450" s="14"/>
      <c r="W450" s="14"/>
      <c r="X450" s="14"/>
    </row>
    <row r="451" spans="2:24" x14ac:dyDescent="0.25">
      <c r="B451" s="14"/>
      <c r="C451" s="14"/>
      <c r="H451" s="14"/>
      <c r="M451" s="14"/>
      <c r="N451" s="15"/>
      <c r="O451" s="14"/>
      <c r="R451" s="14"/>
      <c r="S451" s="15"/>
      <c r="T451" s="14"/>
      <c r="W451" s="14"/>
      <c r="X451" s="14"/>
    </row>
    <row r="452" spans="2:24" x14ac:dyDescent="0.25">
      <c r="B452" s="14"/>
      <c r="C452" s="14"/>
      <c r="H452" s="14"/>
      <c r="M452" s="14"/>
      <c r="N452" s="15"/>
      <c r="O452" s="14"/>
      <c r="R452" s="14"/>
      <c r="S452" s="15"/>
      <c r="T452" s="14"/>
      <c r="W452" s="14"/>
      <c r="X452" s="14"/>
    </row>
    <row r="453" spans="2:24" x14ac:dyDescent="0.25">
      <c r="B453" s="14"/>
      <c r="C453" s="14"/>
      <c r="H453" s="14"/>
      <c r="M453" s="14"/>
      <c r="N453" s="15"/>
      <c r="O453" s="14"/>
      <c r="R453" s="14"/>
      <c r="S453" s="15"/>
      <c r="T453" s="14"/>
      <c r="W453" s="14"/>
      <c r="X453" s="14"/>
    </row>
    <row r="454" spans="2:24" x14ac:dyDescent="0.25">
      <c r="B454" s="14"/>
      <c r="C454" s="14"/>
      <c r="H454" s="14"/>
      <c r="M454" s="14"/>
      <c r="N454" s="15"/>
      <c r="O454" s="14"/>
      <c r="R454" s="14"/>
      <c r="S454" s="15"/>
      <c r="T454" s="14"/>
      <c r="W454" s="14"/>
      <c r="X454" s="14"/>
    </row>
    <row r="455" spans="2:24" x14ac:dyDescent="0.25">
      <c r="B455" s="14"/>
      <c r="C455" s="14"/>
      <c r="H455" s="14"/>
      <c r="M455" s="14"/>
      <c r="N455" s="15"/>
      <c r="O455" s="14"/>
      <c r="R455" s="14"/>
      <c r="S455" s="15"/>
      <c r="T455" s="14"/>
      <c r="W455" s="14"/>
      <c r="X455" s="14"/>
    </row>
    <row r="456" spans="2:24" x14ac:dyDescent="0.25">
      <c r="B456" s="14"/>
      <c r="C456" s="14"/>
      <c r="H456" s="14"/>
      <c r="M456" s="14"/>
      <c r="N456" s="15"/>
      <c r="O456" s="14"/>
      <c r="R456" s="14"/>
      <c r="S456" s="15"/>
      <c r="T456" s="14"/>
      <c r="W456" s="14"/>
      <c r="X456" s="14"/>
    </row>
    <row r="457" spans="2:24" x14ac:dyDescent="0.25">
      <c r="B457" s="14"/>
      <c r="C457" s="14"/>
      <c r="H457" s="14"/>
      <c r="M457" s="14"/>
      <c r="N457" s="15"/>
      <c r="O457" s="14"/>
      <c r="R457" s="14"/>
      <c r="S457" s="15"/>
      <c r="T457" s="14"/>
      <c r="W457" s="14"/>
      <c r="X457" s="14"/>
    </row>
    <row r="458" spans="2:24" x14ac:dyDescent="0.25">
      <c r="B458" s="14"/>
      <c r="C458" s="14"/>
      <c r="H458" s="14"/>
      <c r="M458" s="14"/>
      <c r="N458" s="15"/>
      <c r="O458" s="14"/>
      <c r="R458" s="14"/>
      <c r="S458" s="15"/>
      <c r="T458" s="14"/>
      <c r="W458" s="14"/>
      <c r="X458" s="14"/>
    </row>
    <row r="459" spans="2:24" x14ac:dyDescent="0.25">
      <c r="B459" s="14"/>
      <c r="C459" s="14"/>
      <c r="H459" s="14"/>
      <c r="M459" s="14"/>
      <c r="N459" s="15"/>
      <c r="O459" s="14"/>
      <c r="R459" s="14"/>
      <c r="S459" s="15"/>
      <c r="T459" s="14"/>
      <c r="W459" s="14"/>
      <c r="X459" s="14"/>
    </row>
    <row r="460" spans="2:24" x14ac:dyDescent="0.25">
      <c r="B460" s="14"/>
      <c r="C460" s="14"/>
      <c r="H460" s="14"/>
      <c r="M460" s="14"/>
      <c r="N460" s="15"/>
      <c r="O460" s="14"/>
      <c r="R460" s="14"/>
      <c r="S460" s="15"/>
      <c r="T460" s="14"/>
      <c r="W460" s="14"/>
      <c r="X460" s="14"/>
    </row>
    <row r="461" spans="2:24" x14ac:dyDescent="0.25">
      <c r="B461" s="14"/>
      <c r="C461" s="14"/>
      <c r="H461" s="14"/>
      <c r="M461" s="14"/>
      <c r="N461" s="15"/>
      <c r="O461" s="14"/>
      <c r="R461" s="14"/>
      <c r="S461" s="15"/>
      <c r="T461" s="14"/>
      <c r="W461" s="14"/>
      <c r="X461" s="14"/>
    </row>
    <row r="462" spans="2:24" x14ac:dyDescent="0.25">
      <c r="B462" s="14"/>
      <c r="C462" s="14"/>
      <c r="H462" s="14"/>
      <c r="M462" s="14"/>
      <c r="N462" s="15"/>
      <c r="O462" s="14"/>
      <c r="R462" s="14"/>
      <c r="S462" s="15"/>
      <c r="T462" s="14"/>
      <c r="W462" s="14"/>
      <c r="X462" s="14"/>
    </row>
    <row r="463" spans="2:24" x14ac:dyDescent="0.25">
      <c r="B463" s="14"/>
      <c r="C463" s="14"/>
      <c r="H463" s="14"/>
      <c r="M463" s="14"/>
      <c r="N463" s="15"/>
      <c r="O463" s="14"/>
      <c r="R463" s="14"/>
      <c r="S463" s="15"/>
      <c r="T463" s="14"/>
      <c r="W463" s="14"/>
      <c r="X463" s="14"/>
    </row>
    <row r="464" spans="2:24" x14ac:dyDescent="0.25">
      <c r="B464" s="14"/>
      <c r="C464" s="14"/>
      <c r="H464" s="14"/>
      <c r="M464" s="14"/>
      <c r="N464" s="15"/>
      <c r="O464" s="14"/>
      <c r="R464" s="14"/>
      <c r="S464" s="15"/>
      <c r="T464" s="14"/>
      <c r="W464" s="14"/>
      <c r="X464" s="14"/>
    </row>
    <row r="465" spans="2:24" x14ac:dyDescent="0.25">
      <c r="B465" s="14"/>
      <c r="C465" s="14"/>
      <c r="H465" s="14"/>
      <c r="M465" s="14"/>
      <c r="N465" s="15"/>
      <c r="O465" s="14"/>
      <c r="R465" s="14"/>
      <c r="S465" s="15"/>
      <c r="T465" s="14"/>
      <c r="W465" s="14"/>
      <c r="X465" s="14"/>
    </row>
    <row r="466" spans="2:24" x14ac:dyDescent="0.25">
      <c r="B466" s="14"/>
      <c r="C466" s="14"/>
      <c r="H466" s="14"/>
      <c r="M466" s="14"/>
      <c r="N466" s="15"/>
      <c r="O466" s="14"/>
      <c r="R466" s="14"/>
      <c r="S466" s="15"/>
      <c r="T466" s="14"/>
      <c r="W466" s="14"/>
      <c r="X466" s="14"/>
    </row>
    <row r="467" spans="2:24" x14ac:dyDescent="0.25">
      <c r="B467" s="14"/>
      <c r="C467" s="14"/>
      <c r="H467" s="14"/>
      <c r="M467" s="14"/>
      <c r="N467" s="15"/>
      <c r="O467" s="14"/>
      <c r="R467" s="14"/>
      <c r="S467" s="15"/>
      <c r="T467" s="14"/>
      <c r="W467" s="14"/>
      <c r="X467" s="14"/>
    </row>
    <row r="468" spans="2:24" x14ac:dyDescent="0.25">
      <c r="B468" s="14"/>
      <c r="C468" s="14"/>
      <c r="H468" s="14"/>
      <c r="M468" s="14"/>
      <c r="N468" s="15"/>
      <c r="O468" s="14"/>
      <c r="R468" s="14"/>
      <c r="S468" s="15"/>
      <c r="T468" s="14"/>
      <c r="W468" s="14"/>
      <c r="X468" s="14"/>
    </row>
    <row r="469" spans="2:24" x14ac:dyDescent="0.25">
      <c r="B469" s="14"/>
      <c r="C469" s="14"/>
      <c r="H469" s="14"/>
      <c r="M469" s="14"/>
      <c r="N469" s="15"/>
      <c r="O469" s="14"/>
      <c r="R469" s="14"/>
      <c r="S469" s="15"/>
      <c r="T469" s="14"/>
      <c r="W469" s="14"/>
      <c r="X469" s="14"/>
    </row>
    <row r="470" spans="2:24" x14ac:dyDescent="0.25">
      <c r="B470" s="14"/>
      <c r="C470" s="14"/>
      <c r="H470" s="14"/>
      <c r="M470" s="14"/>
      <c r="N470" s="15"/>
      <c r="O470" s="14"/>
      <c r="R470" s="14"/>
      <c r="S470" s="15"/>
      <c r="T470" s="14"/>
      <c r="W470" s="14"/>
      <c r="X470" s="14"/>
    </row>
    <row r="471" spans="2:24" x14ac:dyDescent="0.25">
      <c r="B471" s="14"/>
      <c r="C471" s="14"/>
      <c r="H471" s="14"/>
      <c r="M471" s="14"/>
      <c r="N471" s="15"/>
      <c r="O471" s="14"/>
      <c r="R471" s="14"/>
      <c r="S471" s="15"/>
      <c r="T471" s="14"/>
      <c r="W471" s="14"/>
      <c r="X471" s="14"/>
    </row>
    <row r="472" spans="2:24" x14ac:dyDescent="0.25">
      <c r="B472" s="14"/>
      <c r="C472" s="14"/>
      <c r="H472" s="14"/>
      <c r="M472" s="14"/>
      <c r="N472" s="15"/>
      <c r="O472" s="14"/>
      <c r="R472" s="14"/>
      <c r="S472" s="15"/>
      <c r="T472" s="14"/>
      <c r="W472" s="14"/>
      <c r="X472" s="14"/>
    </row>
    <row r="473" spans="2:24" x14ac:dyDescent="0.25">
      <c r="B473" s="14"/>
      <c r="C473" s="14"/>
      <c r="H473" s="14"/>
      <c r="M473" s="14"/>
      <c r="N473" s="15"/>
      <c r="O473" s="14"/>
      <c r="R473" s="14"/>
      <c r="S473" s="15"/>
      <c r="T473" s="14"/>
      <c r="W473" s="14"/>
      <c r="X473" s="14"/>
    </row>
    <row r="474" spans="2:24" x14ac:dyDescent="0.25">
      <c r="B474" s="14"/>
      <c r="C474" s="14"/>
      <c r="H474" s="14"/>
      <c r="M474" s="14"/>
      <c r="N474" s="15"/>
      <c r="O474" s="14"/>
      <c r="R474" s="14"/>
      <c r="S474" s="15"/>
      <c r="T474" s="14"/>
      <c r="W474" s="14"/>
      <c r="X474" s="14"/>
    </row>
    <row r="475" spans="2:24" x14ac:dyDescent="0.25">
      <c r="B475" s="14"/>
      <c r="C475" s="14"/>
      <c r="H475" s="14"/>
      <c r="M475" s="14"/>
      <c r="N475" s="15"/>
      <c r="O475" s="14"/>
      <c r="R475" s="14"/>
      <c r="S475" s="15"/>
      <c r="T475" s="14"/>
      <c r="W475" s="14"/>
      <c r="X475" s="14"/>
    </row>
    <row r="476" spans="2:24" x14ac:dyDescent="0.25">
      <c r="B476" s="14"/>
      <c r="C476" s="14"/>
      <c r="H476" s="14"/>
      <c r="M476" s="14"/>
      <c r="N476" s="15"/>
      <c r="O476" s="14"/>
      <c r="R476" s="14"/>
      <c r="S476" s="15"/>
      <c r="T476" s="14"/>
      <c r="W476" s="14"/>
      <c r="X476" s="14"/>
    </row>
    <row r="477" spans="2:24" x14ac:dyDescent="0.25">
      <c r="B477" s="14"/>
      <c r="C477" s="14"/>
      <c r="H477" s="14"/>
      <c r="M477" s="14"/>
      <c r="N477" s="15"/>
      <c r="O477" s="14"/>
      <c r="R477" s="14"/>
      <c r="S477" s="15"/>
      <c r="T477" s="14"/>
      <c r="W477" s="14"/>
      <c r="X477" s="14"/>
    </row>
    <row r="478" spans="2:24" x14ac:dyDescent="0.25">
      <c r="B478" s="14"/>
      <c r="C478" s="14"/>
      <c r="H478" s="14"/>
      <c r="M478" s="14"/>
      <c r="N478" s="15"/>
      <c r="O478" s="14"/>
      <c r="R478" s="14"/>
      <c r="S478" s="15"/>
      <c r="T478" s="14"/>
      <c r="W478" s="14"/>
      <c r="X478" s="14"/>
    </row>
    <row r="479" spans="2:24" x14ac:dyDescent="0.25">
      <c r="B479" s="14"/>
      <c r="C479" s="14"/>
      <c r="H479" s="14"/>
      <c r="M479" s="14"/>
      <c r="N479" s="15"/>
      <c r="O479" s="14"/>
      <c r="R479" s="14"/>
      <c r="S479" s="15"/>
      <c r="T479" s="14"/>
      <c r="W479" s="14"/>
      <c r="X479" s="14"/>
    </row>
    <row r="480" spans="2:24" x14ac:dyDescent="0.25">
      <c r="B480" s="14"/>
      <c r="C480" s="14"/>
      <c r="H480" s="14"/>
      <c r="M480" s="14"/>
      <c r="N480" s="15"/>
      <c r="O480" s="14"/>
      <c r="R480" s="14"/>
      <c r="S480" s="15"/>
      <c r="T480" s="14"/>
      <c r="W480" s="14"/>
      <c r="X480" s="14"/>
    </row>
    <row r="481" spans="2:24" x14ac:dyDescent="0.25">
      <c r="B481" s="14"/>
      <c r="C481" s="14"/>
      <c r="H481" s="14"/>
      <c r="M481" s="14"/>
      <c r="N481" s="15"/>
      <c r="O481" s="14"/>
      <c r="R481" s="14"/>
      <c r="S481" s="15"/>
      <c r="T481" s="14"/>
      <c r="W481" s="14"/>
      <c r="X481" s="14"/>
    </row>
    <row r="482" spans="2:24" x14ac:dyDescent="0.25">
      <c r="B482" s="14"/>
      <c r="C482" s="14"/>
      <c r="H482" s="14"/>
      <c r="M482" s="14"/>
      <c r="N482" s="15"/>
      <c r="O482" s="14"/>
      <c r="R482" s="14"/>
      <c r="S482" s="15"/>
      <c r="T482" s="14"/>
      <c r="W482" s="14"/>
      <c r="X482" s="14"/>
    </row>
    <row r="483" spans="2:24" x14ac:dyDescent="0.25">
      <c r="B483" s="14"/>
      <c r="C483" s="14"/>
      <c r="H483" s="14"/>
      <c r="M483" s="14"/>
      <c r="N483" s="15"/>
      <c r="O483" s="14"/>
      <c r="R483" s="14"/>
      <c r="S483" s="15"/>
      <c r="T483" s="14"/>
      <c r="W483" s="14"/>
      <c r="X483" s="14"/>
    </row>
    <row r="484" spans="2:24" x14ac:dyDescent="0.25">
      <c r="B484" s="14"/>
      <c r="C484" s="14"/>
      <c r="H484" s="14"/>
      <c r="M484" s="14"/>
      <c r="N484" s="15"/>
      <c r="O484" s="14"/>
      <c r="R484" s="14"/>
      <c r="S484" s="15"/>
      <c r="T484" s="14"/>
      <c r="W484" s="14"/>
      <c r="X484" s="14"/>
    </row>
    <row r="485" spans="2:24" x14ac:dyDescent="0.25">
      <c r="B485" s="14"/>
      <c r="C485" s="14"/>
      <c r="H485" s="14"/>
      <c r="M485" s="14"/>
      <c r="N485" s="15"/>
      <c r="O485" s="14"/>
      <c r="R485" s="14"/>
      <c r="S485" s="15"/>
      <c r="T485" s="14"/>
      <c r="W485" s="14"/>
      <c r="X485" s="14"/>
    </row>
    <row r="486" spans="2:24" x14ac:dyDescent="0.25">
      <c r="B486" s="14"/>
      <c r="C486" s="14"/>
      <c r="H486" s="14"/>
      <c r="M486" s="14"/>
      <c r="N486" s="15"/>
      <c r="O486" s="14"/>
      <c r="R486" s="14"/>
      <c r="S486" s="15"/>
      <c r="T486" s="14"/>
      <c r="W486" s="14"/>
      <c r="X486" s="14"/>
    </row>
    <row r="487" spans="2:24" x14ac:dyDescent="0.25">
      <c r="B487" s="14"/>
      <c r="C487" s="14"/>
      <c r="H487" s="14"/>
      <c r="M487" s="14"/>
      <c r="N487" s="15"/>
      <c r="O487" s="14"/>
      <c r="R487" s="14"/>
      <c r="S487" s="15"/>
      <c r="T487" s="14"/>
      <c r="W487" s="14"/>
      <c r="X487" s="14"/>
    </row>
    <row r="488" spans="2:24" x14ac:dyDescent="0.25">
      <c r="B488" s="14"/>
      <c r="C488" s="14"/>
      <c r="H488" s="14"/>
      <c r="M488" s="14"/>
      <c r="N488" s="15"/>
      <c r="O488" s="14"/>
      <c r="R488" s="14"/>
      <c r="S488" s="15"/>
      <c r="T488" s="14"/>
      <c r="W488" s="14"/>
      <c r="X488" s="14"/>
    </row>
    <row r="489" spans="2:24" x14ac:dyDescent="0.25">
      <c r="B489" s="14"/>
      <c r="C489" s="14"/>
      <c r="H489" s="14"/>
      <c r="M489" s="14"/>
      <c r="N489" s="15"/>
      <c r="O489" s="14"/>
      <c r="R489" s="14"/>
      <c r="S489" s="15"/>
      <c r="T489" s="14"/>
      <c r="W489" s="14"/>
      <c r="X489" s="14"/>
    </row>
    <row r="490" spans="2:24" x14ac:dyDescent="0.25">
      <c r="B490" s="14"/>
      <c r="C490" s="14"/>
      <c r="H490" s="14"/>
      <c r="M490" s="14"/>
      <c r="N490" s="15"/>
      <c r="O490" s="14"/>
      <c r="R490" s="14"/>
      <c r="S490" s="15"/>
      <c r="T490" s="14"/>
      <c r="W490" s="14"/>
      <c r="X490" s="14"/>
    </row>
    <row r="491" spans="2:24" x14ac:dyDescent="0.25">
      <c r="B491" s="14"/>
      <c r="C491" s="14"/>
      <c r="H491" s="14"/>
      <c r="M491" s="14"/>
      <c r="N491" s="15"/>
      <c r="O491" s="14"/>
      <c r="R491" s="14"/>
      <c r="S491" s="15"/>
      <c r="T491" s="14"/>
      <c r="W491" s="14"/>
      <c r="X491" s="14"/>
    </row>
    <row r="492" spans="2:24" x14ac:dyDescent="0.25">
      <c r="B492" s="14"/>
      <c r="C492" s="14"/>
      <c r="H492" s="14"/>
      <c r="M492" s="14"/>
      <c r="N492" s="15"/>
      <c r="O492" s="14"/>
      <c r="R492" s="14"/>
      <c r="S492" s="15"/>
      <c r="T492" s="14"/>
      <c r="W492" s="14"/>
      <c r="X492" s="14"/>
    </row>
    <row r="493" spans="2:24" x14ac:dyDescent="0.25">
      <c r="B493" s="14"/>
      <c r="C493" s="14"/>
      <c r="H493" s="14"/>
      <c r="M493" s="14"/>
      <c r="N493" s="15"/>
      <c r="O493" s="14"/>
      <c r="R493" s="14"/>
      <c r="S493" s="15"/>
      <c r="T493" s="14"/>
      <c r="W493" s="14"/>
      <c r="X493" s="14"/>
    </row>
    <row r="494" spans="2:24" x14ac:dyDescent="0.25">
      <c r="B494" s="14"/>
      <c r="C494" s="14"/>
      <c r="H494" s="14"/>
      <c r="M494" s="14"/>
      <c r="N494" s="15"/>
      <c r="O494" s="14"/>
      <c r="R494" s="14"/>
      <c r="S494" s="15"/>
      <c r="T494" s="14"/>
      <c r="W494" s="14"/>
      <c r="X494" s="14"/>
    </row>
    <row r="495" spans="2:24" x14ac:dyDescent="0.25">
      <c r="B495" s="14"/>
      <c r="C495" s="14"/>
      <c r="H495" s="14"/>
      <c r="M495" s="14"/>
      <c r="N495" s="15"/>
      <c r="O495" s="14"/>
      <c r="R495" s="14"/>
      <c r="S495" s="15"/>
      <c r="T495" s="14"/>
      <c r="W495" s="14"/>
      <c r="X495" s="14"/>
    </row>
    <row r="496" spans="2:24" x14ac:dyDescent="0.25">
      <c r="B496" s="14"/>
      <c r="C496" s="14"/>
      <c r="H496" s="14"/>
      <c r="M496" s="14"/>
      <c r="N496" s="15"/>
      <c r="O496" s="14"/>
      <c r="R496" s="14"/>
      <c r="S496" s="15"/>
      <c r="T496" s="14"/>
      <c r="W496" s="14"/>
      <c r="X496" s="14"/>
    </row>
    <row r="497" spans="2:24" x14ac:dyDescent="0.25">
      <c r="B497" s="14"/>
      <c r="C497" s="14"/>
      <c r="H497" s="14"/>
      <c r="M497" s="14"/>
      <c r="N497" s="15"/>
      <c r="O497" s="14"/>
      <c r="R497" s="14"/>
      <c r="S497" s="15"/>
      <c r="T497" s="14"/>
      <c r="W497" s="14"/>
      <c r="X497" s="14"/>
    </row>
    <row r="498" spans="2:24" x14ac:dyDescent="0.25">
      <c r="B498" s="14"/>
      <c r="C498" s="14"/>
      <c r="H498" s="14"/>
      <c r="M498" s="14"/>
      <c r="N498" s="15"/>
      <c r="O498" s="14"/>
      <c r="R498" s="14"/>
      <c r="S498" s="15"/>
      <c r="T498" s="14"/>
      <c r="W498" s="14"/>
      <c r="X498" s="14"/>
    </row>
    <row r="499" spans="2:24" x14ac:dyDescent="0.25">
      <c r="B499" s="14"/>
      <c r="C499" s="14"/>
      <c r="H499" s="14"/>
      <c r="M499" s="14"/>
      <c r="N499" s="15"/>
      <c r="O499" s="14"/>
      <c r="R499" s="14"/>
      <c r="S499" s="15"/>
      <c r="T499" s="14"/>
      <c r="W499" s="14"/>
      <c r="X499" s="14"/>
    </row>
    <row r="500" spans="2:24" x14ac:dyDescent="0.25">
      <c r="B500" s="14"/>
      <c r="C500" s="14"/>
      <c r="H500" s="14"/>
      <c r="M500" s="14"/>
      <c r="N500" s="15"/>
      <c r="O500" s="14"/>
      <c r="R500" s="14"/>
      <c r="S500" s="15"/>
      <c r="T500" s="14"/>
      <c r="W500" s="14"/>
      <c r="X500" s="14"/>
    </row>
    <row r="501" spans="2:24" x14ac:dyDescent="0.25">
      <c r="B501" s="14"/>
      <c r="C501" s="14"/>
      <c r="H501" s="14"/>
      <c r="M501" s="14"/>
      <c r="N501" s="15"/>
      <c r="O501" s="14"/>
      <c r="R501" s="14"/>
      <c r="S501" s="15"/>
      <c r="T501" s="14"/>
      <c r="W501" s="14"/>
      <c r="X501" s="14"/>
    </row>
    <row r="502" spans="2:24" x14ac:dyDescent="0.25">
      <c r="B502" s="14"/>
      <c r="C502" s="14"/>
      <c r="H502" s="14"/>
      <c r="M502" s="14"/>
      <c r="N502" s="15"/>
      <c r="O502" s="14"/>
      <c r="R502" s="14"/>
      <c r="S502" s="15"/>
      <c r="T502" s="14"/>
      <c r="W502" s="14"/>
      <c r="X502" s="14"/>
    </row>
    <row r="503" spans="2:24" x14ac:dyDescent="0.25">
      <c r="B503" s="14"/>
      <c r="C503" s="14"/>
      <c r="H503" s="14"/>
      <c r="M503" s="14"/>
      <c r="N503" s="15"/>
      <c r="O503" s="14"/>
      <c r="R503" s="14"/>
      <c r="S503" s="15"/>
      <c r="T503" s="14"/>
      <c r="W503" s="14"/>
      <c r="X503" s="14"/>
    </row>
    <row r="504" spans="2:24" x14ac:dyDescent="0.25">
      <c r="B504" s="14"/>
      <c r="C504" s="14"/>
      <c r="H504" s="14"/>
      <c r="M504" s="14"/>
      <c r="N504" s="15"/>
      <c r="O504" s="14"/>
      <c r="R504" s="14"/>
      <c r="S504" s="15"/>
      <c r="T504" s="14"/>
      <c r="W504" s="14"/>
      <c r="X504" s="14"/>
    </row>
    <row r="505" spans="2:24" x14ac:dyDescent="0.25">
      <c r="B505" s="14"/>
      <c r="C505" s="14"/>
      <c r="H505" s="14"/>
      <c r="M505" s="14"/>
      <c r="N505" s="15"/>
      <c r="O505" s="14"/>
      <c r="R505" s="14"/>
      <c r="S505" s="15"/>
      <c r="T505" s="14"/>
      <c r="W505" s="14"/>
      <c r="X505" s="14"/>
    </row>
    <row r="506" spans="2:24" x14ac:dyDescent="0.25">
      <c r="B506" s="14"/>
      <c r="C506" s="14"/>
      <c r="H506" s="14"/>
      <c r="M506" s="14"/>
      <c r="N506" s="15"/>
      <c r="O506" s="14"/>
      <c r="R506" s="14"/>
      <c r="S506" s="15"/>
      <c r="T506" s="14"/>
      <c r="W506" s="14"/>
      <c r="X506" s="14"/>
    </row>
    <row r="507" spans="2:24" x14ac:dyDescent="0.25">
      <c r="B507" s="14"/>
      <c r="C507" s="14"/>
      <c r="H507" s="14"/>
      <c r="M507" s="14"/>
      <c r="N507" s="15"/>
      <c r="O507" s="14"/>
      <c r="R507" s="14"/>
      <c r="S507" s="15"/>
      <c r="T507" s="14"/>
      <c r="W507" s="14"/>
      <c r="X507" s="14"/>
    </row>
    <row r="508" spans="2:24" x14ac:dyDescent="0.25">
      <c r="B508" s="14"/>
      <c r="C508" s="14"/>
      <c r="H508" s="14"/>
      <c r="M508" s="14"/>
      <c r="N508" s="15"/>
      <c r="O508" s="14"/>
      <c r="R508" s="14"/>
      <c r="S508" s="15"/>
      <c r="T508" s="14"/>
      <c r="W508" s="14"/>
      <c r="X508" s="14"/>
    </row>
    <row r="509" spans="2:24" x14ac:dyDescent="0.25">
      <c r="B509" s="14"/>
      <c r="C509" s="14"/>
      <c r="H509" s="14"/>
      <c r="M509" s="14"/>
      <c r="N509" s="15"/>
      <c r="O509" s="14"/>
      <c r="R509" s="14"/>
      <c r="S509" s="15"/>
      <c r="T509" s="14"/>
      <c r="W509" s="14"/>
      <c r="X509" s="14"/>
    </row>
    <row r="510" spans="2:24" x14ac:dyDescent="0.25">
      <c r="B510" s="14"/>
      <c r="C510" s="14"/>
      <c r="H510" s="14"/>
      <c r="M510" s="14"/>
      <c r="N510" s="15"/>
      <c r="O510" s="14"/>
      <c r="R510" s="14"/>
      <c r="S510" s="15"/>
      <c r="T510" s="14"/>
      <c r="W510" s="14"/>
      <c r="X510" s="14"/>
    </row>
    <row r="511" spans="2:24" x14ac:dyDescent="0.25">
      <c r="B511" s="14"/>
      <c r="C511" s="14"/>
      <c r="H511" s="14"/>
      <c r="M511" s="14"/>
      <c r="N511" s="15"/>
      <c r="O511" s="14"/>
      <c r="R511" s="14"/>
      <c r="S511" s="15"/>
      <c r="T511" s="14"/>
      <c r="W511" s="14"/>
      <c r="X511" s="14"/>
    </row>
    <row r="512" spans="2:24" x14ac:dyDescent="0.25">
      <c r="B512" s="14"/>
      <c r="C512" s="14"/>
      <c r="H512" s="14"/>
      <c r="M512" s="14"/>
      <c r="N512" s="15"/>
      <c r="O512" s="14"/>
      <c r="R512" s="14"/>
      <c r="S512" s="15"/>
      <c r="T512" s="14"/>
      <c r="W512" s="14"/>
      <c r="X512" s="14"/>
    </row>
    <row r="513" spans="2:24" x14ac:dyDescent="0.25">
      <c r="B513" s="14"/>
      <c r="C513" s="14"/>
      <c r="H513" s="14"/>
      <c r="M513" s="14"/>
      <c r="N513" s="15"/>
      <c r="O513" s="14"/>
      <c r="R513" s="14"/>
      <c r="S513" s="15"/>
      <c r="T513" s="14"/>
      <c r="W513" s="14"/>
      <c r="X513" s="14"/>
    </row>
    <row r="514" spans="2:24" x14ac:dyDescent="0.25">
      <c r="B514" s="14"/>
      <c r="C514" s="14"/>
      <c r="H514" s="14"/>
      <c r="M514" s="14"/>
      <c r="N514" s="15"/>
      <c r="O514" s="14"/>
      <c r="R514" s="14"/>
      <c r="S514" s="15"/>
      <c r="T514" s="14"/>
      <c r="W514" s="14"/>
      <c r="X514" s="14"/>
    </row>
    <row r="515" spans="2:24" x14ac:dyDescent="0.25">
      <c r="B515" s="14"/>
      <c r="C515" s="14"/>
      <c r="H515" s="14"/>
      <c r="M515" s="14"/>
      <c r="N515" s="15"/>
      <c r="O515" s="14"/>
      <c r="R515" s="14"/>
      <c r="S515" s="15"/>
      <c r="T515" s="14"/>
      <c r="W515" s="14"/>
      <c r="X515" s="14"/>
    </row>
    <row r="516" spans="2:24" x14ac:dyDescent="0.25">
      <c r="B516" s="14"/>
      <c r="C516" s="14"/>
      <c r="H516" s="14"/>
      <c r="M516" s="14"/>
      <c r="N516" s="15"/>
      <c r="O516" s="14"/>
      <c r="R516" s="14"/>
      <c r="S516" s="15"/>
      <c r="T516" s="14"/>
      <c r="W516" s="14"/>
      <c r="X516" s="14"/>
    </row>
    <row r="517" spans="2:24" x14ac:dyDescent="0.25">
      <c r="B517" s="14"/>
      <c r="C517" s="14"/>
      <c r="H517" s="14"/>
      <c r="M517" s="14"/>
      <c r="N517" s="15"/>
      <c r="O517" s="14"/>
      <c r="R517" s="14"/>
      <c r="S517" s="15"/>
      <c r="T517" s="14"/>
      <c r="W517" s="14"/>
      <c r="X517" s="14"/>
    </row>
    <row r="518" spans="2:24" x14ac:dyDescent="0.25">
      <c r="B518" s="14"/>
      <c r="C518" s="14"/>
      <c r="H518" s="14"/>
      <c r="M518" s="14"/>
      <c r="N518" s="15"/>
      <c r="O518" s="14"/>
      <c r="R518" s="14"/>
      <c r="S518" s="15"/>
      <c r="T518" s="14"/>
      <c r="W518" s="14"/>
      <c r="X518" s="14"/>
    </row>
    <row r="519" spans="2:24" x14ac:dyDescent="0.25">
      <c r="B519" s="14"/>
      <c r="C519" s="14"/>
      <c r="H519" s="14"/>
      <c r="M519" s="14"/>
      <c r="N519" s="15"/>
      <c r="O519" s="14"/>
      <c r="R519" s="14"/>
      <c r="S519" s="15"/>
      <c r="T519" s="14"/>
      <c r="W519" s="14"/>
      <c r="X519" s="14"/>
    </row>
    <row r="520" spans="2:24" x14ac:dyDescent="0.25">
      <c r="B520" s="14"/>
      <c r="C520" s="14"/>
      <c r="H520" s="14"/>
      <c r="M520" s="14"/>
      <c r="N520" s="15"/>
      <c r="O520" s="14"/>
      <c r="R520" s="14"/>
      <c r="S520" s="15"/>
      <c r="T520" s="14"/>
      <c r="W520" s="14"/>
      <c r="X520" s="14"/>
    </row>
    <row r="521" spans="2:24" x14ac:dyDescent="0.25">
      <c r="B521" s="14"/>
      <c r="C521" s="14"/>
      <c r="H521" s="14"/>
      <c r="M521" s="14"/>
      <c r="N521" s="15"/>
      <c r="O521" s="14"/>
      <c r="R521" s="14"/>
      <c r="S521" s="15"/>
      <c r="T521" s="14"/>
      <c r="W521" s="14"/>
      <c r="X521" s="14"/>
    </row>
    <row r="522" spans="2:24" x14ac:dyDescent="0.25">
      <c r="B522" s="14"/>
      <c r="C522" s="14"/>
      <c r="H522" s="14"/>
      <c r="M522" s="14"/>
      <c r="N522" s="15"/>
      <c r="O522" s="14"/>
      <c r="R522" s="14"/>
      <c r="S522" s="15"/>
      <c r="T522" s="14"/>
      <c r="W522" s="14"/>
      <c r="X522" s="14"/>
    </row>
    <row r="523" spans="2:24" x14ac:dyDescent="0.25">
      <c r="B523" s="14"/>
      <c r="C523" s="14"/>
      <c r="H523" s="14"/>
      <c r="M523" s="14"/>
      <c r="N523" s="15"/>
      <c r="O523" s="14"/>
      <c r="R523" s="14"/>
      <c r="S523" s="15"/>
      <c r="T523" s="14"/>
      <c r="W523" s="14"/>
      <c r="X523" s="14"/>
    </row>
    <row r="524" spans="2:24" x14ac:dyDescent="0.25">
      <c r="B524" s="14"/>
      <c r="C524" s="14"/>
      <c r="H524" s="14"/>
      <c r="M524" s="14"/>
      <c r="N524" s="15"/>
      <c r="O524" s="14"/>
      <c r="R524" s="14"/>
      <c r="S524" s="15"/>
      <c r="T524" s="14"/>
      <c r="W524" s="14"/>
      <c r="X524" s="14"/>
    </row>
    <row r="525" spans="2:24" x14ac:dyDescent="0.25">
      <c r="B525" s="14"/>
      <c r="C525" s="14"/>
      <c r="H525" s="14"/>
      <c r="M525" s="14"/>
      <c r="N525" s="15"/>
      <c r="O525" s="14"/>
      <c r="R525" s="14"/>
      <c r="S525" s="15"/>
      <c r="T525" s="14"/>
      <c r="W525" s="14"/>
      <c r="X525" s="14"/>
    </row>
    <row r="526" spans="2:24" x14ac:dyDescent="0.25">
      <c r="B526" s="14"/>
      <c r="C526" s="14"/>
      <c r="H526" s="14"/>
      <c r="M526" s="14"/>
      <c r="N526" s="15"/>
      <c r="O526" s="14"/>
      <c r="R526" s="14"/>
      <c r="S526" s="15"/>
      <c r="T526" s="14"/>
      <c r="W526" s="14"/>
      <c r="X526" s="14"/>
    </row>
    <row r="527" spans="2:24" x14ac:dyDescent="0.25">
      <c r="B527" s="14"/>
      <c r="C527" s="14"/>
      <c r="H527" s="14"/>
      <c r="M527" s="14"/>
      <c r="N527" s="15"/>
      <c r="O527" s="14"/>
      <c r="R527" s="14"/>
      <c r="S527" s="15"/>
      <c r="T527" s="14"/>
      <c r="W527" s="14"/>
      <c r="X527" s="14"/>
    </row>
    <row r="528" spans="2:24" x14ac:dyDescent="0.25">
      <c r="B528" s="14"/>
      <c r="C528" s="14"/>
      <c r="H528" s="14"/>
      <c r="M528" s="14"/>
      <c r="N528" s="15"/>
      <c r="O528" s="14"/>
      <c r="R528" s="14"/>
      <c r="S528" s="15"/>
      <c r="T528" s="14"/>
      <c r="W528" s="14"/>
      <c r="X528" s="14"/>
    </row>
    <row r="529" spans="2:24" x14ac:dyDescent="0.25">
      <c r="B529" s="14"/>
      <c r="C529" s="14"/>
      <c r="H529" s="14"/>
      <c r="M529" s="14"/>
      <c r="N529" s="15"/>
      <c r="O529" s="14"/>
      <c r="R529" s="14"/>
      <c r="S529" s="15"/>
      <c r="T529" s="14"/>
      <c r="W529" s="14"/>
      <c r="X529" s="14"/>
    </row>
    <row r="530" spans="2:24" x14ac:dyDescent="0.25">
      <c r="B530" s="14"/>
      <c r="C530" s="14"/>
      <c r="H530" s="14"/>
      <c r="M530" s="14"/>
      <c r="N530" s="15"/>
      <c r="O530" s="14"/>
      <c r="R530" s="14"/>
      <c r="S530" s="15"/>
      <c r="T530" s="14"/>
      <c r="W530" s="14"/>
      <c r="X530" s="14"/>
    </row>
    <row r="531" spans="2:24" x14ac:dyDescent="0.25">
      <c r="B531" s="14"/>
      <c r="C531" s="14"/>
      <c r="H531" s="14"/>
      <c r="M531" s="14"/>
      <c r="N531" s="15"/>
      <c r="O531" s="14"/>
      <c r="R531" s="14"/>
      <c r="S531" s="15"/>
      <c r="T531" s="14"/>
      <c r="W531" s="14"/>
      <c r="X531" s="14"/>
    </row>
    <row r="532" spans="2:24" x14ac:dyDescent="0.25">
      <c r="B532" s="14"/>
      <c r="C532" s="14"/>
      <c r="H532" s="14"/>
      <c r="M532" s="14"/>
      <c r="N532" s="15"/>
      <c r="O532" s="14"/>
      <c r="R532" s="14"/>
      <c r="S532" s="15"/>
      <c r="T532" s="14"/>
      <c r="W532" s="14"/>
      <c r="X532" s="14"/>
    </row>
    <row r="533" spans="2:24" x14ac:dyDescent="0.25">
      <c r="B533" s="14"/>
      <c r="C533" s="14"/>
      <c r="H533" s="14"/>
      <c r="M533" s="14"/>
      <c r="N533" s="15"/>
      <c r="O533" s="14"/>
      <c r="R533" s="14"/>
      <c r="S533" s="15"/>
      <c r="T533" s="14"/>
      <c r="W533" s="14"/>
      <c r="X533" s="14"/>
    </row>
    <row r="534" spans="2:24" x14ac:dyDescent="0.25">
      <c r="B534" s="14"/>
      <c r="C534" s="14"/>
      <c r="H534" s="14"/>
      <c r="M534" s="14"/>
      <c r="N534" s="15"/>
      <c r="O534" s="14"/>
      <c r="R534" s="14"/>
      <c r="S534" s="15"/>
      <c r="T534" s="14"/>
      <c r="W534" s="14"/>
      <c r="X534" s="14"/>
    </row>
    <row r="535" spans="2:24" x14ac:dyDescent="0.25">
      <c r="B535" s="14"/>
      <c r="C535" s="14"/>
      <c r="H535" s="14"/>
      <c r="M535" s="14"/>
      <c r="N535" s="15"/>
      <c r="O535" s="14"/>
      <c r="R535" s="14"/>
      <c r="S535" s="15"/>
      <c r="T535" s="14"/>
      <c r="W535" s="14"/>
      <c r="X535" s="14"/>
    </row>
    <row r="536" spans="2:24" x14ac:dyDescent="0.25">
      <c r="B536" s="14"/>
      <c r="C536" s="14"/>
      <c r="H536" s="14"/>
      <c r="M536" s="14"/>
      <c r="N536" s="15"/>
      <c r="O536" s="14"/>
      <c r="R536" s="14"/>
      <c r="S536" s="15"/>
      <c r="T536" s="14"/>
      <c r="W536" s="14"/>
      <c r="X536" s="14"/>
    </row>
    <row r="537" spans="2:24" x14ac:dyDescent="0.25">
      <c r="B537" s="14"/>
      <c r="C537" s="14"/>
      <c r="H537" s="14"/>
      <c r="M537" s="14"/>
      <c r="N537" s="15"/>
      <c r="O537" s="14"/>
      <c r="R537" s="14"/>
      <c r="S537" s="15"/>
      <c r="T537" s="14"/>
      <c r="W537" s="14"/>
      <c r="X537" s="14"/>
    </row>
    <row r="538" spans="2:24" x14ac:dyDescent="0.25">
      <c r="B538" s="14"/>
      <c r="C538" s="14"/>
      <c r="H538" s="14"/>
      <c r="M538" s="14"/>
      <c r="N538" s="15"/>
      <c r="O538" s="14"/>
      <c r="R538" s="14"/>
      <c r="S538" s="15"/>
      <c r="T538" s="14"/>
      <c r="W538" s="14"/>
      <c r="X538" s="14"/>
    </row>
    <row r="539" spans="2:24" x14ac:dyDescent="0.25">
      <c r="B539" s="14"/>
      <c r="C539" s="14"/>
      <c r="H539" s="14"/>
      <c r="M539" s="14"/>
      <c r="N539" s="15"/>
      <c r="O539" s="14"/>
      <c r="R539" s="14"/>
      <c r="S539" s="15"/>
      <c r="T539" s="14"/>
      <c r="W539" s="14"/>
      <c r="X539" s="14"/>
    </row>
    <row r="540" spans="2:24" x14ac:dyDescent="0.25">
      <c r="B540" s="14"/>
      <c r="C540" s="14"/>
      <c r="H540" s="14"/>
      <c r="M540" s="14"/>
      <c r="N540" s="15"/>
      <c r="O540" s="14"/>
      <c r="R540" s="14"/>
      <c r="S540" s="15"/>
      <c r="T540" s="14"/>
      <c r="W540" s="14"/>
      <c r="X540" s="14"/>
    </row>
    <row r="541" spans="2:24" x14ac:dyDescent="0.25">
      <c r="B541" s="14"/>
      <c r="C541" s="14"/>
      <c r="H541" s="14"/>
      <c r="M541" s="14"/>
      <c r="N541" s="15"/>
      <c r="O541" s="14"/>
      <c r="R541" s="14"/>
      <c r="S541" s="15"/>
      <c r="T541" s="14"/>
      <c r="W541" s="14"/>
      <c r="X541" s="14"/>
    </row>
    <row r="542" spans="2:24" x14ac:dyDescent="0.25">
      <c r="B542" s="14"/>
      <c r="C542" s="14"/>
      <c r="H542" s="14"/>
      <c r="M542" s="14"/>
      <c r="N542" s="15"/>
      <c r="O542" s="14"/>
      <c r="R542" s="14"/>
      <c r="S542" s="15"/>
      <c r="T542" s="14"/>
      <c r="W542" s="14"/>
      <c r="X542" s="14"/>
    </row>
    <row r="543" spans="2:24" x14ac:dyDescent="0.25">
      <c r="B543" s="14"/>
      <c r="C543" s="14"/>
      <c r="H543" s="14"/>
      <c r="M543" s="14"/>
      <c r="N543" s="15"/>
      <c r="O543" s="14"/>
      <c r="R543" s="14"/>
      <c r="S543" s="15"/>
      <c r="T543" s="14"/>
      <c r="W543" s="14"/>
      <c r="X543" s="14"/>
    </row>
    <row r="544" spans="2:24" x14ac:dyDescent="0.25">
      <c r="B544" s="14"/>
      <c r="C544" s="14"/>
      <c r="H544" s="14"/>
      <c r="M544" s="14"/>
      <c r="N544" s="15"/>
      <c r="O544" s="14"/>
      <c r="R544" s="14"/>
      <c r="S544" s="15"/>
      <c r="T544" s="14"/>
      <c r="W544" s="14"/>
      <c r="X544" s="14"/>
    </row>
    <row r="545" spans="2:24" x14ac:dyDescent="0.25">
      <c r="B545" s="14"/>
      <c r="C545" s="14"/>
      <c r="H545" s="14"/>
      <c r="M545" s="14"/>
      <c r="N545" s="15"/>
      <c r="O545" s="14"/>
      <c r="R545" s="14"/>
      <c r="S545" s="15"/>
      <c r="T545" s="14"/>
      <c r="W545" s="14"/>
      <c r="X545" s="14"/>
    </row>
    <row r="546" spans="2:24" x14ac:dyDescent="0.25">
      <c r="B546" s="14"/>
      <c r="H546" s="14"/>
      <c r="M546" s="14"/>
      <c r="N546" s="15"/>
      <c r="O546" s="14"/>
      <c r="R546" s="14"/>
      <c r="S546" s="15"/>
      <c r="T546" s="14"/>
      <c r="W546" s="14"/>
      <c r="X546" s="14"/>
    </row>
    <row r="547" spans="2:24" x14ac:dyDescent="0.25">
      <c r="M547" s="14"/>
      <c r="N547" s="15"/>
      <c r="O547" s="14"/>
      <c r="R547" s="14"/>
      <c r="S547" s="15"/>
      <c r="T547" s="14"/>
      <c r="W547" s="14"/>
      <c r="X547" s="14"/>
    </row>
    <row r="548" spans="2:24" x14ac:dyDescent="0.25">
      <c r="M548" s="14"/>
      <c r="N548" s="15"/>
      <c r="O548" s="14"/>
      <c r="R548" s="14"/>
      <c r="S548" s="15"/>
      <c r="T548" s="14"/>
      <c r="W548" s="14"/>
      <c r="X548" s="14"/>
    </row>
    <row r="549" spans="2:24" x14ac:dyDescent="0.25">
      <c r="M549" s="14"/>
      <c r="N549" s="15"/>
      <c r="O549" s="14"/>
      <c r="R549" s="14"/>
      <c r="S549" s="15"/>
      <c r="T549" s="14"/>
      <c r="W549" s="14"/>
      <c r="X549" s="14"/>
    </row>
    <row r="550" spans="2:24" x14ac:dyDescent="0.25">
      <c r="M550" s="14"/>
      <c r="N550" s="15"/>
      <c r="O550" s="14"/>
      <c r="R550" s="14"/>
      <c r="S550" s="15"/>
      <c r="T550" s="14"/>
      <c r="W550" s="14"/>
      <c r="X550" s="14"/>
    </row>
    <row r="551" spans="2:24" x14ac:dyDescent="0.25">
      <c r="M551" s="14"/>
      <c r="N551" s="15"/>
      <c r="O551" s="14"/>
      <c r="R551" s="14"/>
      <c r="S551" s="15"/>
      <c r="T551" s="14"/>
      <c r="W551" s="14"/>
      <c r="X551" s="14"/>
    </row>
    <row r="552" spans="2:24" x14ac:dyDescent="0.25">
      <c r="M552" s="14"/>
      <c r="N552" s="15"/>
      <c r="O552" s="14"/>
      <c r="R552" s="14"/>
      <c r="S552" s="15"/>
      <c r="T552" s="14"/>
      <c r="W552" s="14"/>
      <c r="X552" s="14"/>
    </row>
    <row r="553" spans="2:24" x14ac:dyDescent="0.25">
      <c r="M553" s="14"/>
      <c r="N553" s="15"/>
      <c r="O553" s="14"/>
      <c r="R553" s="14"/>
      <c r="S553" s="15"/>
      <c r="T553" s="14"/>
      <c r="W553" s="14"/>
      <c r="X553" s="14"/>
    </row>
    <row r="554" spans="2:24" x14ac:dyDescent="0.25">
      <c r="M554" s="14"/>
      <c r="N554" s="15"/>
      <c r="O554" s="14"/>
      <c r="R554" s="14"/>
      <c r="S554" s="15"/>
      <c r="T554" s="14"/>
      <c r="W554" s="14"/>
      <c r="X554" s="14"/>
    </row>
    <row r="555" spans="2:24" x14ac:dyDescent="0.25">
      <c r="M555" s="14"/>
      <c r="N555" s="15"/>
      <c r="O555" s="14"/>
      <c r="R555" s="14"/>
      <c r="S555" s="15"/>
      <c r="T555" s="14"/>
      <c r="W555" s="14"/>
      <c r="X555" s="14"/>
    </row>
    <row r="556" spans="2:24" x14ac:dyDescent="0.25">
      <c r="M556" s="14"/>
      <c r="N556" s="15"/>
      <c r="O556" s="14"/>
      <c r="R556" s="14"/>
      <c r="S556" s="15"/>
      <c r="T556" s="14"/>
      <c r="W556" s="14"/>
      <c r="X556" s="14"/>
    </row>
    <row r="557" spans="2:24" x14ac:dyDescent="0.25">
      <c r="M557" s="14"/>
      <c r="N557" s="15"/>
      <c r="O557" s="14"/>
      <c r="R557" s="14"/>
      <c r="S557" s="15"/>
      <c r="T557" s="14"/>
      <c r="W557" s="14"/>
      <c r="X557" s="14"/>
    </row>
    <row r="558" spans="2:24" x14ac:dyDescent="0.25">
      <c r="M558" s="14"/>
      <c r="N558" s="15"/>
      <c r="O558" s="14"/>
      <c r="R558" s="14"/>
      <c r="S558" s="15"/>
      <c r="T558" s="14"/>
      <c r="W558" s="14"/>
      <c r="X558" s="14"/>
    </row>
    <row r="559" spans="2:24" x14ac:dyDescent="0.25">
      <c r="M559" s="14"/>
      <c r="N559" s="15"/>
      <c r="O559" s="14"/>
      <c r="R559" s="14"/>
      <c r="S559" s="15"/>
      <c r="T559" s="14"/>
      <c r="W559" s="14"/>
      <c r="X559" s="14"/>
    </row>
    <row r="560" spans="2:24" x14ac:dyDescent="0.25">
      <c r="M560" s="14"/>
      <c r="N560" s="15"/>
      <c r="O560" s="14"/>
      <c r="R560" s="14"/>
      <c r="S560" s="15"/>
      <c r="T560" s="14"/>
      <c r="W560" s="14"/>
      <c r="X560" s="14"/>
    </row>
    <row r="561" spans="13:24" x14ac:dyDescent="0.25">
      <c r="M561" s="14"/>
      <c r="N561" s="15"/>
      <c r="O561" s="14"/>
      <c r="R561" s="14"/>
      <c r="S561" s="15"/>
      <c r="T561" s="14"/>
      <c r="W561" s="14"/>
      <c r="X561" s="14"/>
    </row>
    <row r="562" spans="13:24" x14ac:dyDescent="0.25">
      <c r="M562" s="14"/>
      <c r="N562" s="15"/>
      <c r="O562" s="14"/>
      <c r="R562" s="14"/>
      <c r="S562" s="15"/>
      <c r="T562" s="14"/>
      <c r="W562" s="14"/>
      <c r="X562" s="14"/>
    </row>
    <row r="563" spans="13:24" x14ac:dyDescent="0.25">
      <c r="M563" s="14"/>
      <c r="N563" s="15"/>
      <c r="O563" s="14"/>
      <c r="R563" s="14"/>
      <c r="S563" s="15"/>
      <c r="T563" s="14"/>
      <c r="W563" s="14"/>
      <c r="X563" s="14"/>
    </row>
    <row r="564" spans="13:24" x14ac:dyDescent="0.25">
      <c r="M564" s="14"/>
      <c r="N564" s="15"/>
      <c r="O564" s="14"/>
      <c r="R564" s="14"/>
      <c r="S564" s="15"/>
      <c r="T564" s="14"/>
      <c r="W564" s="14"/>
      <c r="X564" s="14"/>
    </row>
    <row r="565" spans="13:24" x14ac:dyDescent="0.25">
      <c r="M565" s="14"/>
      <c r="N565" s="15"/>
      <c r="O565" s="14"/>
      <c r="R565" s="14"/>
      <c r="S565" s="15"/>
      <c r="T565" s="14"/>
      <c r="W565" s="14"/>
      <c r="X565" s="14"/>
    </row>
    <row r="566" spans="13:24" x14ac:dyDescent="0.25">
      <c r="M566" s="14"/>
      <c r="N566" s="15"/>
      <c r="O566" s="14"/>
      <c r="R566" s="14"/>
      <c r="S566" s="15"/>
      <c r="T566" s="14"/>
      <c r="W566" s="14"/>
      <c r="X566" s="14"/>
    </row>
    <row r="567" spans="13:24" x14ac:dyDescent="0.25">
      <c r="M567" s="14"/>
      <c r="N567" s="15"/>
      <c r="O567" s="14"/>
      <c r="R567" s="14"/>
      <c r="S567" s="15"/>
      <c r="T567" s="14"/>
      <c r="W567" s="14"/>
      <c r="X567" s="14"/>
    </row>
    <row r="568" spans="13:24" x14ac:dyDescent="0.25">
      <c r="M568" s="14"/>
      <c r="N568" s="15"/>
      <c r="O568" s="14"/>
      <c r="R568" s="14"/>
      <c r="S568" s="15"/>
      <c r="T568" s="14"/>
      <c r="W568" s="14"/>
      <c r="X568" s="14"/>
    </row>
    <row r="569" spans="13:24" x14ac:dyDescent="0.25">
      <c r="M569" s="14"/>
      <c r="N569" s="15"/>
      <c r="O569" s="14"/>
      <c r="R569" s="14"/>
      <c r="S569" s="15"/>
      <c r="T569" s="14"/>
      <c r="W569" s="14"/>
      <c r="X569" s="14"/>
    </row>
    <row r="570" spans="13:24" x14ac:dyDescent="0.25">
      <c r="M570" s="14"/>
      <c r="N570" s="15"/>
      <c r="O570" s="14"/>
      <c r="R570" s="14"/>
      <c r="S570" s="15"/>
      <c r="T570" s="14"/>
      <c r="W570" s="14"/>
      <c r="X570" s="14"/>
    </row>
    <row r="571" spans="13:24" x14ac:dyDescent="0.25">
      <c r="M571" s="14"/>
      <c r="N571" s="15"/>
      <c r="O571" s="14"/>
      <c r="R571" s="14"/>
      <c r="S571" s="15"/>
      <c r="T571" s="14"/>
      <c r="W571" s="14"/>
      <c r="X571" s="14"/>
    </row>
    <row r="572" spans="13:24" x14ac:dyDescent="0.25">
      <c r="M572" s="14"/>
      <c r="N572" s="15"/>
      <c r="O572" s="14"/>
      <c r="R572" s="14"/>
      <c r="S572" s="15"/>
      <c r="T572" s="14"/>
      <c r="W572" s="14"/>
      <c r="X572" s="14"/>
    </row>
    <row r="573" spans="13:24" x14ac:dyDescent="0.25">
      <c r="M573" s="14"/>
      <c r="N573" s="15"/>
      <c r="O573" s="14"/>
      <c r="R573" s="14"/>
      <c r="S573" s="15"/>
      <c r="T573" s="14"/>
      <c r="W573" s="14"/>
      <c r="X573" s="14"/>
    </row>
    <row r="574" spans="13:24" x14ac:dyDescent="0.25">
      <c r="M574" s="14"/>
      <c r="N574" s="15"/>
      <c r="O574" s="14"/>
      <c r="R574" s="14"/>
      <c r="S574" s="15"/>
      <c r="T574" s="14"/>
      <c r="W574" s="14"/>
      <c r="X574" s="14"/>
    </row>
    <row r="575" spans="13:24" x14ac:dyDescent="0.25">
      <c r="M575" s="14"/>
      <c r="N575" s="15"/>
      <c r="O575" s="14"/>
      <c r="R575" s="14"/>
      <c r="S575" s="15"/>
      <c r="T575" s="14"/>
      <c r="W575" s="14"/>
      <c r="X575" s="14"/>
    </row>
    <row r="576" spans="13:24" x14ac:dyDescent="0.25">
      <c r="M576" s="14"/>
      <c r="N576" s="15"/>
      <c r="O576" s="14"/>
      <c r="R576" s="14"/>
      <c r="S576" s="15"/>
      <c r="T576" s="14"/>
      <c r="W576" s="14"/>
      <c r="X576" s="14"/>
    </row>
    <row r="577" spans="13:24" x14ac:dyDescent="0.25">
      <c r="M577" s="14"/>
      <c r="N577" s="15"/>
      <c r="O577" s="14"/>
      <c r="R577" s="14"/>
      <c r="S577" s="15"/>
      <c r="T577" s="14"/>
      <c r="W577" s="14"/>
      <c r="X577" s="14"/>
    </row>
    <row r="578" spans="13:24" x14ac:dyDescent="0.25">
      <c r="M578" s="14"/>
      <c r="N578" s="15"/>
      <c r="O578" s="14"/>
      <c r="R578" s="14"/>
      <c r="S578" s="15"/>
      <c r="T578" s="14"/>
      <c r="W578" s="14"/>
      <c r="X578" s="14"/>
    </row>
    <row r="579" spans="13:24" x14ac:dyDescent="0.25">
      <c r="M579" s="14"/>
      <c r="N579" s="15"/>
      <c r="O579" s="14"/>
      <c r="R579" s="14"/>
      <c r="S579" s="15"/>
      <c r="T579" s="14"/>
      <c r="W579" s="14"/>
      <c r="X579" s="14"/>
    </row>
    <row r="580" spans="13:24" x14ac:dyDescent="0.25">
      <c r="M580" s="14"/>
      <c r="N580" s="15"/>
      <c r="O580" s="14"/>
      <c r="R580" s="14"/>
      <c r="S580" s="15"/>
      <c r="T580" s="14"/>
      <c r="W580" s="14"/>
      <c r="X580" s="14"/>
    </row>
    <row r="581" spans="13:24" x14ac:dyDescent="0.25">
      <c r="M581" s="14"/>
      <c r="N581" s="15"/>
      <c r="O581" s="14"/>
      <c r="R581" s="14"/>
      <c r="S581" s="15"/>
      <c r="T581" s="14"/>
      <c r="W581" s="14"/>
      <c r="X581" s="14"/>
    </row>
    <row r="582" spans="13:24" x14ac:dyDescent="0.25">
      <c r="M582" s="14"/>
      <c r="N582" s="15"/>
      <c r="O582" s="14"/>
      <c r="R582" s="14"/>
      <c r="S582" s="15"/>
      <c r="T582" s="14"/>
      <c r="W582" s="14"/>
      <c r="X582" s="14"/>
    </row>
    <row r="583" spans="13:24" x14ac:dyDescent="0.25">
      <c r="M583" s="14"/>
      <c r="N583" s="15"/>
      <c r="O583" s="14"/>
      <c r="R583" s="14"/>
      <c r="S583" s="15"/>
      <c r="T583" s="14"/>
      <c r="W583" s="14"/>
      <c r="X583" s="14"/>
    </row>
    <row r="584" spans="13:24" x14ac:dyDescent="0.25">
      <c r="M584" s="14"/>
      <c r="N584" s="15"/>
      <c r="O584" s="14"/>
      <c r="R584" s="14"/>
      <c r="S584" s="15"/>
      <c r="T584" s="14"/>
      <c r="W584" s="14"/>
      <c r="X584" s="14"/>
    </row>
    <row r="585" spans="13:24" x14ac:dyDescent="0.25">
      <c r="M585" s="14"/>
      <c r="N585" s="15"/>
      <c r="O585" s="14"/>
      <c r="R585" s="14"/>
      <c r="S585" s="15"/>
      <c r="T585" s="14"/>
      <c r="W585" s="14"/>
      <c r="X585" s="14"/>
    </row>
    <row r="586" spans="13:24" x14ac:dyDescent="0.25">
      <c r="M586" s="14"/>
      <c r="N586" s="15"/>
      <c r="O586" s="14"/>
      <c r="R586" s="14"/>
      <c r="S586" s="15"/>
      <c r="T586" s="14"/>
      <c r="W586" s="14"/>
      <c r="X586" s="14"/>
    </row>
    <row r="587" spans="13:24" x14ac:dyDescent="0.25">
      <c r="M587" s="14"/>
      <c r="N587" s="15"/>
      <c r="O587" s="14"/>
      <c r="R587" s="14"/>
      <c r="S587" s="15"/>
      <c r="T587" s="14"/>
      <c r="W587" s="14"/>
      <c r="X587" s="14"/>
    </row>
    <row r="588" spans="13:24" x14ac:dyDescent="0.25">
      <c r="M588" s="14"/>
      <c r="N588" s="15"/>
      <c r="O588" s="14"/>
      <c r="R588" s="14"/>
      <c r="S588" s="15"/>
      <c r="T588" s="14"/>
      <c r="W588" s="14"/>
      <c r="X588" s="14"/>
    </row>
    <row r="589" spans="13:24" x14ac:dyDescent="0.25">
      <c r="M589" s="14"/>
      <c r="N589" s="15"/>
      <c r="O589" s="14"/>
      <c r="R589" s="14"/>
      <c r="S589" s="15"/>
      <c r="T589" s="14"/>
      <c r="W589" s="14"/>
      <c r="X589" s="14"/>
    </row>
    <row r="590" spans="13:24" x14ac:dyDescent="0.25">
      <c r="M590" s="14"/>
      <c r="N590" s="15"/>
      <c r="O590" s="14"/>
      <c r="R590" s="14"/>
      <c r="S590" s="15"/>
      <c r="T590" s="14"/>
      <c r="W590" s="14"/>
      <c r="X590" s="14"/>
    </row>
    <row r="591" spans="13:24" x14ac:dyDescent="0.25">
      <c r="M591" s="14"/>
      <c r="N591" s="15"/>
      <c r="O591" s="14"/>
      <c r="R591" s="14"/>
      <c r="S591" s="15"/>
      <c r="T591" s="14"/>
      <c r="W591" s="14"/>
      <c r="X591" s="14"/>
    </row>
    <row r="592" spans="13:24" x14ac:dyDescent="0.25">
      <c r="M592" s="14"/>
      <c r="N592" s="15"/>
      <c r="O592" s="14"/>
      <c r="R592" s="14"/>
      <c r="S592" s="15"/>
      <c r="T592" s="14"/>
      <c r="W592" s="14"/>
      <c r="X592" s="14"/>
    </row>
    <row r="593" spans="13:24" x14ac:dyDescent="0.25">
      <c r="M593" s="14"/>
      <c r="N593" s="15"/>
      <c r="O593" s="14"/>
      <c r="R593" s="14"/>
      <c r="S593" s="15"/>
      <c r="T593" s="14"/>
      <c r="W593" s="14"/>
      <c r="X593" s="14"/>
    </row>
    <row r="594" spans="13:24" x14ac:dyDescent="0.25">
      <c r="M594" s="14"/>
      <c r="N594" s="15"/>
      <c r="O594" s="14"/>
      <c r="R594" s="14"/>
      <c r="S594" s="15"/>
      <c r="T594" s="14"/>
      <c r="W594" s="14"/>
      <c r="X594" s="14"/>
    </row>
    <row r="595" spans="13:24" x14ac:dyDescent="0.25">
      <c r="M595" s="14"/>
      <c r="N595" s="15"/>
      <c r="O595" s="14"/>
      <c r="R595" s="14"/>
      <c r="S595" s="15"/>
      <c r="T595" s="14"/>
      <c r="W595" s="14"/>
      <c r="X595" s="14"/>
    </row>
    <row r="596" spans="13:24" x14ac:dyDescent="0.25">
      <c r="M596" s="14"/>
      <c r="N596" s="15"/>
      <c r="O596" s="14"/>
      <c r="R596" s="14"/>
      <c r="S596" s="15"/>
      <c r="T596" s="14"/>
      <c r="W596" s="14"/>
      <c r="X596" s="14"/>
    </row>
    <row r="597" spans="13:24" x14ac:dyDescent="0.25">
      <c r="M597" s="14"/>
      <c r="N597" s="15"/>
      <c r="O597" s="14"/>
      <c r="R597" s="14"/>
      <c r="S597" s="15"/>
      <c r="T597" s="14"/>
      <c r="W597" s="14"/>
      <c r="X597" s="14"/>
    </row>
    <row r="598" spans="13:24" x14ac:dyDescent="0.25">
      <c r="M598" s="14"/>
      <c r="N598" s="15"/>
      <c r="O598" s="14"/>
      <c r="R598" s="14"/>
      <c r="S598" s="15"/>
      <c r="T598" s="14"/>
      <c r="W598" s="14"/>
      <c r="X598" s="14"/>
    </row>
    <row r="599" spans="13:24" x14ac:dyDescent="0.25">
      <c r="M599" s="14"/>
      <c r="N599" s="15"/>
      <c r="O599" s="14"/>
      <c r="R599" s="14"/>
      <c r="S599" s="15"/>
      <c r="T599" s="14"/>
      <c r="W599" s="14"/>
      <c r="X599" s="14"/>
    </row>
    <row r="600" spans="13:24" x14ac:dyDescent="0.25">
      <c r="M600" s="14"/>
      <c r="N600" s="15"/>
      <c r="O600" s="14"/>
      <c r="R600" s="14"/>
      <c r="S600" s="15"/>
      <c r="T600" s="14"/>
      <c r="W600" s="14"/>
      <c r="X600" s="14"/>
    </row>
    <row r="601" spans="13:24" x14ac:dyDescent="0.25">
      <c r="M601" s="14"/>
      <c r="N601" s="15"/>
      <c r="O601" s="14"/>
      <c r="R601" s="14"/>
      <c r="S601" s="15"/>
      <c r="T601" s="14"/>
      <c r="W601" s="14"/>
      <c r="X601" s="14"/>
    </row>
    <row r="602" spans="13:24" x14ac:dyDescent="0.25">
      <c r="M602" s="14"/>
      <c r="N602" s="15"/>
      <c r="O602" s="14"/>
      <c r="R602" s="14"/>
      <c r="S602" s="15"/>
      <c r="T602" s="14"/>
      <c r="W602" s="14"/>
      <c r="X602" s="14"/>
    </row>
    <row r="603" spans="13:24" x14ac:dyDescent="0.25">
      <c r="M603" s="14"/>
      <c r="N603" s="15"/>
      <c r="O603" s="14"/>
      <c r="R603" s="14"/>
      <c r="S603" s="15"/>
      <c r="T603" s="14"/>
      <c r="W603" s="14"/>
      <c r="X603" s="14"/>
    </row>
    <row r="604" spans="13:24" x14ac:dyDescent="0.25">
      <c r="M604" s="14"/>
      <c r="N604" s="15"/>
      <c r="O604" s="14"/>
      <c r="R604" s="14"/>
      <c r="S604" s="15"/>
      <c r="T604" s="14"/>
      <c r="W604" s="14"/>
      <c r="X604" s="14"/>
    </row>
    <row r="605" spans="13:24" x14ac:dyDescent="0.25">
      <c r="M605" s="14"/>
      <c r="N605" s="15"/>
      <c r="O605" s="14"/>
      <c r="R605" s="14"/>
      <c r="S605" s="15"/>
      <c r="T605" s="14"/>
      <c r="W605" s="14"/>
      <c r="X605" s="14"/>
    </row>
    <row r="606" spans="13:24" x14ac:dyDescent="0.25">
      <c r="M606" s="14"/>
      <c r="N606" s="15"/>
      <c r="O606" s="14"/>
      <c r="R606" s="14"/>
      <c r="S606" s="15"/>
      <c r="T606" s="14"/>
      <c r="W606" s="14"/>
      <c r="X606" s="14"/>
    </row>
    <row r="607" spans="13:24" x14ac:dyDescent="0.25">
      <c r="M607" s="14"/>
      <c r="N607" s="15"/>
      <c r="O607" s="14"/>
      <c r="R607" s="14"/>
      <c r="S607" s="15"/>
      <c r="T607" s="14"/>
      <c r="W607" s="14"/>
      <c r="X607" s="14"/>
    </row>
    <row r="608" spans="13:24" x14ac:dyDescent="0.25">
      <c r="M608" s="14"/>
      <c r="N608" s="15"/>
      <c r="O608" s="14"/>
      <c r="R608" s="14"/>
      <c r="S608" s="15"/>
      <c r="T608" s="14"/>
      <c r="W608" s="14"/>
      <c r="X608" s="14"/>
    </row>
    <row r="609" spans="13:24" x14ac:dyDescent="0.25">
      <c r="M609" s="14"/>
      <c r="N609" s="15"/>
      <c r="O609" s="14"/>
      <c r="R609" s="14"/>
      <c r="S609" s="15"/>
      <c r="T609" s="14"/>
      <c r="W609" s="14"/>
      <c r="X609" s="14"/>
    </row>
    <row r="610" spans="13:24" x14ac:dyDescent="0.25">
      <c r="M610" s="14"/>
      <c r="N610" s="15"/>
      <c r="O610" s="14"/>
      <c r="R610" s="14"/>
      <c r="S610" s="15"/>
      <c r="T610" s="14"/>
      <c r="W610" s="14"/>
      <c r="X610" s="14"/>
    </row>
    <row r="611" spans="13:24" x14ac:dyDescent="0.25">
      <c r="M611" s="14"/>
      <c r="N611" s="15"/>
      <c r="O611" s="14"/>
      <c r="R611" s="14"/>
      <c r="S611" s="15"/>
      <c r="T611" s="14"/>
      <c r="W611" s="14"/>
      <c r="X611" s="14"/>
    </row>
    <row r="612" spans="13:24" x14ac:dyDescent="0.25">
      <c r="M612" s="14"/>
      <c r="N612" s="15"/>
      <c r="O612" s="14"/>
      <c r="R612" s="14"/>
      <c r="S612" s="15"/>
      <c r="T612" s="14"/>
      <c r="W612" s="14"/>
      <c r="X612" s="14"/>
    </row>
    <row r="613" spans="13:24" x14ac:dyDescent="0.25">
      <c r="M613" s="14"/>
      <c r="N613" s="15"/>
      <c r="O613" s="14"/>
      <c r="R613" s="14"/>
      <c r="S613" s="15"/>
      <c r="T613" s="14"/>
      <c r="W613" s="14"/>
      <c r="X613" s="14"/>
    </row>
    <row r="614" spans="13:24" x14ac:dyDescent="0.25">
      <c r="M614" s="14"/>
      <c r="N614" s="15"/>
      <c r="O614" s="14"/>
      <c r="R614" s="14"/>
      <c r="S614" s="15"/>
      <c r="T614" s="14"/>
      <c r="W614" s="14"/>
      <c r="X614" s="14"/>
    </row>
    <row r="615" spans="13:24" x14ac:dyDescent="0.25">
      <c r="M615" s="14"/>
      <c r="N615" s="15"/>
      <c r="O615" s="14"/>
      <c r="R615" s="14"/>
      <c r="S615" s="15"/>
      <c r="T615" s="14"/>
      <c r="W615" s="14"/>
      <c r="X615" s="14"/>
    </row>
    <row r="616" spans="13:24" x14ac:dyDescent="0.25">
      <c r="M616" s="14"/>
      <c r="N616" s="15"/>
      <c r="O616" s="14"/>
      <c r="R616" s="14"/>
      <c r="S616" s="15"/>
      <c r="T616" s="14"/>
      <c r="W616" s="14"/>
      <c r="X616" s="14"/>
    </row>
    <row r="617" spans="13:24" x14ac:dyDescent="0.25">
      <c r="M617" s="14"/>
      <c r="N617" s="15"/>
      <c r="O617" s="14"/>
      <c r="R617" s="14"/>
      <c r="S617" s="15"/>
      <c r="T617" s="14"/>
      <c r="W617" s="14"/>
      <c r="X617" s="14"/>
    </row>
    <row r="618" spans="13:24" x14ac:dyDescent="0.25">
      <c r="M618" s="14"/>
      <c r="N618" s="15"/>
      <c r="O618" s="14"/>
      <c r="R618" s="14"/>
      <c r="S618" s="15"/>
      <c r="T618" s="14"/>
      <c r="W618" s="14"/>
      <c r="X618" s="14"/>
    </row>
    <row r="619" spans="13:24" x14ac:dyDescent="0.25">
      <c r="M619" s="14"/>
      <c r="N619" s="15"/>
      <c r="O619" s="14"/>
      <c r="R619" s="14"/>
      <c r="S619" s="15"/>
      <c r="T619" s="14"/>
      <c r="W619" s="14"/>
      <c r="X619" s="14"/>
    </row>
    <row r="620" spans="13:24" x14ac:dyDescent="0.25">
      <c r="M620" s="14"/>
      <c r="N620" s="15"/>
      <c r="O620" s="14"/>
      <c r="R620" s="14"/>
      <c r="S620" s="15"/>
      <c r="T620" s="14"/>
      <c r="W620" s="14"/>
      <c r="X620" s="14"/>
    </row>
    <row r="621" spans="13:24" x14ac:dyDescent="0.25">
      <c r="M621" s="14"/>
      <c r="N621" s="15"/>
      <c r="O621" s="14"/>
      <c r="R621" s="14"/>
      <c r="S621" s="15"/>
      <c r="T621" s="14"/>
      <c r="W621" s="14"/>
      <c r="X621" s="14"/>
    </row>
    <row r="622" spans="13:24" x14ac:dyDescent="0.25">
      <c r="M622" s="14"/>
      <c r="N622" s="15"/>
      <c r="O622" s="14"/>
      <c r="R622" s="14"/>
      <c r="S622" s="15"/>
      <c r="T622" s="14"/>
      <c r="W622" s="14"/>
      <c r="X622" s="14"/>
    </row>
    <row r="623" spans="13:24" x14ac:dyDescent="0.25">
      <c r="M623" s="14"/>
      <c r="N623" s="15"/>
      <c r="O623" s="14"/>
      <c r="R623" s="14"/>
      <c r="S623" s="15"/>
      <c r="T623" s="14"/>
      <c r="W623" s="14"/>
      <c r="X623" s="14"/>
    </row>
    <row r="624" spans="13:24" x14ac:dyDescent="0.25">
      <c r="M624" s="14"/>
      <c r="N624" s="15"/>
      <c r="O624" s="14"/>
      <c r="R624" s="14"/>
      <c r="S624" s="15"/>
      <c r="T624" s="14"/>
      <c r="W624" s="14"/>
      <c r="X624" s="14"/>
    </row>
    <row r="625" spans="13:24" x14ac:dyDescent="0.25">
      <c r="M625" s="14"/>
      <c r="N625" s="15"/>
      <c r="O625" s="14"/>
      <c r="R625" s="14"/>
      <c r="S625" s="15"/>
      <c r="T625" s="14"/>
      <c r="W625" s="14"/>
      <c r="X625" s="14"/>
    </row>
    <row r="626" spans="13:24" x14ac:dyDescent="0.25">
      <c r="M626" s="14"/>
      <c r="N626" s="15"/>
      <c r="O626" s="14"/>
      <c r="R626" s="14"/>
      <c r="S626" s="15"/>
      <c r="T626" s="14"/>
      <c r="W626" s="14"/>
      <c r="X626" s="14"/>
    </row>
    <row r="627" spans="13:24" x14ac:dyDescent="0.25">
      <c r="M627" s="14"/>
      <c r="N627" s="15"/>
      <c r="O627" s="14"/>
      <c r="R627" s="14"/>
      <c r="S627" s="15"/>
      <c r="T627" s="14"/>
      <c r="W627" s="14"/>
      <c r="X627" s="14"/>
    </row>
    <row r="628" spans="13:24" x14ac:dyDescent="0.25">
      <c r="M628" s="14"/>
      <c r="N628" s="15"/>
      <c r="O628" s="14"/>
      <c r="R628" s="14"/>
      <c r="S628" s="15"/>
      <c r="T628" s="14"/>
      <c r="W628" s="14"/>
      <c r="X628" s="14"/>
    </row>
    <row r="629" spans="13:24" x14ac:dyDescent="0.25">
      <c r="M629" s="14"/>
      <c r="N629" s="15"/>
      <c r="O629" s="14"/>
      <c r="R629" s="14"/>
      <c r="S629" s="15"/>
      <c r="T629" s="14"/>
      <c r="W629" s="14"/>
      <c r="X629" s="14"/>
    </row>
    <row r="630" spans="13:24" x14ac:dyDescent="0.25">
      <c r="M630" s="14"/>
      <c r="N630" s="15"/>
      <c r="O630" s="14"/>
      <c r="R630" s="14"/>
      <c r="S630" s="15"/>
      <c r="T630" s="14"/>
      <c r="W630" s="14"/>
      <c r="X630" s="14"/>
    </row>
    <row r="631" spans="13:24" x14ac:dyDescent="0.25">
      <c r="M631" s="14"/>
      <c r="N631" s="15"/>
      <c r="O631" s="14"/>
      <c r="R631" s="14"/>
      <c r="S631" s="15"/>
      <c r="T631" s="14"/>
      <c r="W631" s="14"/>
      <c r="X631" s="14"/>
    </row>
    <row r="632" spans="13:24" x14ac:dyDescent="0.25">
      <c r="M632" s="14"/>
      <c r="N632" s="15"/>
      <c r="O632" s="14"/>
      <c r="R632" s="14"/>
      <c r="S632" s="15"/>
      <c r="T632" s="14"/>
      <c r="W632" s="14"/>
      <c r="X632" s="14"/>
    </row>
    <row r="633" spans="13:24" x14ac:dyDescent="0.25">
      <c r="M633" s="14"/>
      <c r="N633" s="15"/>
      <c r="O633" s="14"/>
      <c r="R633" s="14"/>
      <c r="S633" s="15"/>
      <c r="T633" s="14"/>
      <c r="W633" s="14"/>
      <c r="X633" s="14"/>
    </row>
    <row r="634" spans="13:24" x14ac:dyDescent="0.25">
      <c r="M634" s="14"/>
      <c r="N634" s="15"/>
      <c r="O634" s="14"/>
      <c r="R634" s="14"/>
      <c r="S634" s="15"/>
      <c r="T634" s="14"/>
      <c r="W634" s="14"/>
      <c r="X634" s="14"/>
    </row>
    <row r="635" spans="13:24" x14ac:dyDescent="0.25">
      <c r="M635" s="14"/>
      <c r="N635" s="15"/>
      <c r="O635" s="14"/>
      <c r="R635" s="14"/>
      <c r="S635" s="15"/>
      <c r="T635" s="14"/>
      <c r="W635" s="14"/>
      <c r="X635" s="14"/>
    </row>
    <row r="636" spans="13:24" x14ac:dyDescent="0.25">
      <c r="M636" s="14"/>
      <c r="N636" s="15"/>
      <c r="O636" s="14"/>
      <c r="R636" s="14"/>
      <c r="S636" s="15"/>
      <c r="T636" s="14"/>
      <c r="W636" s="14"/>
      <c r="X636" s="14"/>
    </row>
    <row r="637" spans="13:24" x14ac:dyDescent="0.25">
      <c r="M637" s="14"/>
      <c r="N637" s="15"/>
      <c r="O637" s="14"/>
      <c r="R637" s="14"/>
      <c r="S637" s="15"/>
      <c r="T637" s="14"/>
      <c r="W637" s="14"/>
      <c r="X637" s="14"/>
    </row>
    <row r="638" spans="13:24" x14ac:dyDescent="0.25">
      <c r="M638" s="14"/>
      <c r="N638" s="15"/>
      <c r="O638" s="14"/>
      <c r="R638" s="14"/>
      <c r="S638" s="15"/>
      <c r="T638" s="14"/>
      <c r="W638" s="14"/>
      <c r="X638" s="14"/>
    </row>
    <row r="639" spans="13:24" x14ac:dyDescent="0.25">
      <c r="M639" s="14"/>
      <c r="N639" s="15"/>
      <c r="O639" s="14"/>
      <c r="R639" s="14"/>
      <c r="S639" s="15"/>
      <c r="T639" s="14"/>
      <c r="W639" s="14"/>
      <c r="X639" s="14"/>
    </row>
    <row r="640" spans="13:24" x14ac:dyDescent="0.25">
      <c r="M640" s="14"/>
      <c r="N640" s="15"/>
      <c r="O640" s="14"/>
      <c r="R640" s="14"/>
      <c r="S640" s="15"/>
      <c r="T640" s="14"/>
      <c r="W640" s="14"/>
      <c r="X640" s="14"/>
    </row>
    <row r="641" spans="13:24" x14ac:dyDescent="0.25">
      <c r="M641" s="14"/>
      <c r="N641" s="15"/>
      <c r="O641" s="14"/>
      <c r="R641" s="14"/>
      <c r="S641" s="15"/>
      <c r="T641" s="14"/>
      <c r="W641" s="14"/>
      <c r="X641" s="14"/>
    </row>
    <row r="642" spans="13:24" x14ac:dyDescent="0.25">
      <c r="M642" s="14"/>
      <c r="N642" s="15"/>
      <c r="O642" s="14"/>
      <c r="R642" s="14"/>
      <c r="S642" s="15"/>
      <c r="T642" s="14"/>
      <c r="W642" s="14"/>
      <c r="X642" s="14"/>
    </row>
    <row r="643" spans="13:24" x14ac:dyDescent="0.25">
      <c r="M643" s="14"/>
      <c r="N643" s="15"/>
      <c r="O643" s="14"/>
      <c r="R643" s="14"/>
      <c r="S643" s="15"/>
      <c r="T643" s="14"/>
      <c r="W643" s="14"/>
      <c r="X643" s="14"/>
    </row>
    <row r="644" spans="13:24" x14ac:dyDescent="0.25">
      <c r="M644" s="14"/>
      <c r="N644" s="15"/>
      <c r="O644" s="14"/>
      <c r="R644" s="14"/>
      <c r="S644" s="15"/>
      <c r="T644" s="14"/>
      <c r="W644" s="14"/>
      <c r="X644" s="14"/>
    </row>
    <row r="645" spans="13:24" x14ac:dyDescent="0.25">
      <c r="M645" s="14"/>
      <c r="N645" s="15"/>
      <c r="O645" s="14"/>
      <c r="R645" s="14"/>
      <c r="S645" s="15"/>
      <c r="T645" s="14"/>
      <c r="W645" s="14"/>
      <c r="X645" s="14"/>
    </row>
    <row r="646" spans="13:24" x14ac:dyDescent="0.25">
      <c r="M646" s="14"/>
      <c r="N646" s="15"/>
      <c r="O646" s="14"/>
      <c r="R646" s="14"/>
      <c r="S646" s="15"/>
      <c r="T646" s="14"/>
      <c r="W646" s="14"/>
      <c r="X646" s="14"/>
    </row>
    <row r="647" spans="13:24" x14ac:dyDescent="0.25">
      <c r="M647" s="14"/>
      <c r="N647" s="15"/>
      <c r="O647" s="14"/>
      <c r="R647" s="14"/>
      <c r="S647" s="15"/>
      <c r="T647" s="14"/>
      <c r="W647" s="14"/>
      <c r="X647" s="14"/>
    </row>
    <row r="648" spans="13:24" x14ac:dyDescent="0.25">
      <c r="M648" s="14"/>
      <c r="N648" s="15"/>
      <c r="O648" s="14"/>
      <c r="R648" s="14"/>
      <c r="S648" s="15"/>
      <c r="T648" s="14"/>
      <c r="W648" s="14"/>
      <c r="X648" s="14"/>
    </row>
    <row r="649" spans="13:24" x14ac:dyDescent="0.25">
      <c r="M649" s="14"/>
      <c r="N649" s="15"/>
      <c r="O649" s="14"/>
      <c r="R649" s="14"/>
      <c r="S649" s="15"/>
      <c r="T649" s="14"/>
      <c r="W649" s="14"/>
      <c r="X649" s="14"/>
    </row>
    <row r="650" spans="13:24" x14ac:dyDescent="0.25">
      <c r="M650" s="14"/>
      <c r="N650" s="15"/>
      <c r="O650" s="14"/>
      <c r="R650" s="14"/>
      <c r="S650" s="15"/>
      <c r="T650" s="14"/>
      <c r="W650" s="14"/>
      <c r="X650" s="14"/>
    </row>
    <row r="651" spans="13:24" x14ac:dyDescent="0.25">
      <c r="M651" s="14"/>
      <c r="N651" s="15"/>
      <c r="O651" s="14"/>
      <c r="R651" s="14"/>
      <c r="S651" s="15"/>
      <c r="T651" s="14"/>
      <c r="W651" s="14"/>
      <c r="X651" s="14"/>
    </row>
    <row r="652" spans="13:24" x14ac:dyDescent="0.25">
      <c r="M652" s="14"/>
      <c r="N652" s="15"/>
      <c r="O652" s="14"/>
      <c r="R652" s="14"/>
      <c r="S652" s="15"/>
      <c r="T652" s="14"/>
      <c r="W652" s="14"/>
      <c r="X652" s="14"/>
    </row>
    <row r="653" spans="13:24" x14ac:dyDescent="0.25">
      <c r="M653" s="14"/>
      <c r="N653" s="15"/>
      <c r="O653" s="14"/>
      <c r="R653" s="14"/>
      <c r="S653" s="15"/>
      <c r="T653" s="14"/>
      <c r="W653" s="14"/>
      <c r="X653" s="14"/>
    </row>
    <row r="654" spans="13:24" x14ac:dyDescent="0.25">
      <c r="M654" s="14"/>
      <c r="N654" s="15"/>
      <c r="O654" s="14"/>
      <c r="R654" s="14"/>
      <c r="S654" s="15"/>
      <c r="T654" s="14"/>
      <c r="W654" s="14"/>
      <c r="X654" s="14"/>
    </row>
    <row r="655" spans="13:24" x14ac:dyDescent="0.25">
      <c r="M655" s="14"/>
      <c r="N655" s="15"/>
      <c r="O655" s="14"/>
      <c r="R655" s="14"/>
      <c r="S655" s="15"/>
      <c r="T655" s="14"/>
      <c r="W655" s="14"/>
      <c r="X655" s="14"/>
    </row>
    <row r="656" spans="13:24" x14ac:dyDescent="0.25">
      <c r="M656" s="14"/>
      <c r="N656" s="15"/>
      <c r="O656" s="14"/>
      <c r="R656" s="14"/>
      <c r="S656" s="15"/>
      <c r="T656" s="14"/>
      <c r="W656" s="14"/>
      <c r="X656" s="14"/>
    </row>
    <row r="657" spans="13:24" x14ac:dyDescent="0.25">
      <c r="M657" s="14"/>
      <c r="N657" s="15"/>
      <c r="O657" s="14"/>
      <c r="R657" s="14"/>
      <c r="S657" s="15"/>
      <c r="T657" s="14"/>
      <c r="W657" s="14"/>
      <c r="X657" s="14"/>
    </row>
    <row r="658" spans="13:24" x14ac:dyDescent="0.25">
      <c r="M658" s="14"/>
      <c r="N658" s="15"/>
      <c r="O658" s="14"/>
      <c r="R658" s="14"/>
      <c r="S658" s="15"/>
      <c r="T658" s="14"/>
      <c r="W658" s="14"/>
      <c r="X658" s="14"/>
    </row>
    <row r="659" spans="13:24" x14ac:dyDescent="0.25">
      <c r="M659" s="14"/>
      <c r="N659" s="15"/>
      <c r="O659" s="14"/>
      <c r="R659" s="14"/>
      <c r="S659" s="15"/>
      <c r="T659" s="14"/>
      <c r="W659" s="14"/>
      <c r="X659" s="14"/>
    </row>
    <row r="660" spans="13:24" x14ac:dyDescent="0.25">
      <c r="M660" s="14"/>
      <c r="N660" s="15"/>
      <c r="O660" s="14"/>
      <c r="R660" s="14"/>
      <c r="S660" s="15"/>
      <c r="T660" s="14"/>
      <c r="W660" s="14"/>
      <c r="X660" s="14"/>
    </row>
    <row r="661" spans="13:24" x14ac:dyDescent="0.25">
      <c r="M661" s="14"/>
      <c r="N661" s="15"/>
      <c r="O661" s="14"/>
      <c r="R661" s="14"/>
      <c r="S661" s="15"/>
      <c r="T661" s="14"/>
      <c r="W661" s="14"/>
      <c r="X661" s="14"/>
    </row>
    <row r="662" spans="13:24" x14ac:dyDescent="0.25">
      <c r="M662" s="14"/>
      <c r="N662" s="15"/>
      <c r="O662" s="14"/>
      <c r="R662" s="14"/>
      <c r="S662" s="15"/>
      <c r="T662" s="14"/>
      <c r="W662" s="14"/>
      <c r="X662" s="14"/>
    </row>
    <row r="663" spans="13:24" x14ac:dyDescent="0.25">
      <c r="M663" s="14"/>
      <c r="N663" s="15"/>
      <c r="O663" s="14"/>
      <c r="R663" s="14"/>
      <c r="S663" s="15"/>
      <c r="T663" s="14"/>
      <c r="W663" s="14"/>
      <c r="X663" s="14"/>
    </row>
    <row r="664" spans="13:24" x14ac:dyDescent="0.25">
      <c r="M664" s="14"/>
      <c r="N664" s="15"/>
      <c r="O664" s="14"/>
      <c r="R664" s="14"/>
      <c r="S664" s="15"/>
      <c r="T664" s="14"/>
      <c r="W664" s="14"/>
      <c r="X664" s="14"/>
    </row>
    <row r="665" spans="13:24" x14ac:dyDescent="0.25">
      <c r="M665" s="14"/>
      <c r="N665" s="15"/>
      <c r="O665" s="14"/>
      <c r="R665" s="14"/>
      <c r="S665" s="15"/>
      <c r="T665" s="14"/>
      <c r="W665" s="14"/>
      <c r="X665" s="14"/>
    </row>
    <row r="666" spans="13:24" x14ac:dyDescent="0.25">
      <c r="M666" s="14"/>
      <c r="N666" s="15"/>
      <c r="O666" s="14"/>
      <c r="R666" s="14"/>
      <c r="S666" s="15"/>
      <c r="T666" s="14"/>
      <c r="W666" s="14"/>
      <c r="X666" s="14"/>
    </row>
    <row r="667" spans="13:24" x14ac:dyDescent="0.25">
      <c r="M667" s="14"/>
      <c r="N667" s="15"/>
      <c r="O667" s="14"/>
      <c r="R667" s="14"/>
      <c r="S667" s="15"/>
      <c r="T667" s="14"/>
      <c r="W667" s="14"/>
      <c r="X667" s="14"/>
    </row>
    <row r="668" spans="13:24" x14ac:dyDescent="0.25">
      <c r="M668" s="14"/>
      <c r="N668" s="15"/>
      <c r="O668" s="14"/>
      <c r="R668" s="14"/>
      <c r="S668" s="15"/>
      <c r="T668" s="14"/>
      <c r="W668" s="14"/>
      <c r="X668" s="14"/>
    </row>
    <row r="669" spans="13:24" x14ac:dyDescent="0.25">
      <c r="M669" s="14"/>
      <c r="N669" s="15"/>
      <c r="O669" s="14"/>
      <c r="R669" s="14"/>
      <c r="S669" s="15"/>
      <c r="T669" s="14"/>
      <c r="W669" s="14"/>
      <c r="X669" s="14"/>
    </row>
    <row r="670" spans="13:24" x14ac:dyDescent="0.25">
      <c r="M670" s="14"/>
      <c r="N670" s="15"/>
      <c r="O670" s="14"/>
      <c r="R670" s="14"/>
      <c r="S670" s="15"/>
      <c r="T670" s="14"/>
      <c r="W670" s="14"/>
      <c r="X670" s="14"/>
    </row>
    <row r="671" spans="13:24" x14ac:dyDescent="0.25">
      <c r="M671" s="14"/>
      <c r="N671" s="15"/>
      <c r="O671" s="14"/>
      <c r="R671" s="14"/>
      <c r="S671" s="15"/>
      <c r="T671" s="14"/>
      <c r="W671" s="14"/>
      <c r="X671" s="14"/>
    </row>
    <row r="672" spans="13:24" x14ac:dyDescent="0.25">
      <c r="M672" s="14"/>
      <c r="N672" s="15"/>
      <c r="O672" s="14"/>
      <c r="R672" s="14"/>
      <c r="S672" s="15"/>
      <c r="T672" s="14"/>
      <c r="W672" s="14"/>
      <c r="X672" s="14"/>
    </row>
    <row r="673" spans="13:24" x14ac:dyDescent="0.25">
      <c r="M673" s="14"/>
      <c r="N673" s="15"/>
      <c r="O673" s="14"/>
      <c r="R673" s="14"/>
      <c r="S673" s="15"/>
      <c r="T673" s="14"/>
      <c r="W673" s="14"/>
      <c r="X673" s="14"/>
    </row>
    <row r="674" spans="13:24" x14ac:dyDescent="0.25">
      <c r="M674" s="14"/>
      <c r="N674" s="15"/>
      <c r="O674" s="14"/>
      <c r="R674" s="14"/>
      <c r="S674" s="15"/>
      <c r="T674" s="14"/>
      <c r="W674" s="14"/>
      <c r="X674" s="14"/>
    </row>
    <row r="675" spans="13:24" x14ac:dyDescent="0.25">
      <c r="M675" s="14"/>
      <c r="N675" s="15"/>
      <c r="O675" s="14"/>
      <c r="R675" s="14"/>
      <c r="S675" s="15"/>
      <c r="T675" s="14"/>
    </row>
  </sheetData>
  <sheetProtection algorithmName="SHA-512" hashValue="on5yw3M1OQkgwPbfvJvKOC9F/9SG7/tA5CCnGAoz24GjMPyL4VxIcTghyIpzO7lP1tk75slZ13EcAfhenWfXMw==" saltValue="/o64e2Bj1LVbfDjKq599PA==" spinCount="100000" sheet="1" objects="1" scenarios="1"/>
  <mergeCells count="18">
    <mergeCell ref="R3:R6"/>
    <mergeCell ref="S3:T4"/>
    <mergeCell ref="V3:V6"/>
    <mergeCell ref="W3:X4"/>
    <mergeCell ref="S5:T5"/>
    <mergeCell ref="W5:X5"/>
    <mergeCell ref="L3:L6"/>
    <mergeCell ref="M3:M6"/>
    <mergeCell ref="N3:O4"/>
    <mergeCell ref="Q3:Q6"/>
    <mergeCell ref="N5:O5"/>
    <mergeCell ref="I3:J4"/>
    <mergeCell ref="I5:J5"/>
    <mergeCell ref="A3:A6"/>
    <mergeCell ref="B3:B6"/>
    <mergeCell ref="C3:C4"/>
    <mergeCell ref="G3:G6"/>
    <mergeCell ref="H3: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5"/>
  <sheetViews>
    <sheetView zoomScale="80" zoomScaleNormal="80" workbookViewId="0">
      <pane ySplit="6" topLeftCell="A7" activePane="bottomLeft" state="frozen"/>
      <selection pane="bottomLeft" activeCell="B8" sqref="B8"/>
    </sheetView>
  </sheetViews>
  <sheetFormatPr defaultRowHeight="15" x14ac:dyDescent="0.25"/>
  <cols>
    <col min="1" max="1" width="9.28515625" style="18" customWidth="1"/>
    <col min="2" max="2" width="15.85546875" style="18" bestFit="1" customWidth="1"/>
    <col min="3" max="3" width="12" bestFit="1" customWidth="1"/>
    <col min="7" max="7" width="9.28515625" style="20" customWidth="1"/>
    <col min="8" max="8" width="20" customWidth="1"/>
    <col min="10" max="10" width="11" customWidth="1"/>
    <col min="13" max="13" width="17.7109375" customWidth="1"/>
    <col min="14" max="14" width="16.85546875" customWidth="1"/>
    <col min="15" max="15" width="9.140625" style="2"/>
    <col min="20" max="20" width="16.140625" customWidth="1"/>
    <col min="26" max="26" width="17" customWidth="1"/>
  </cols>
  <sheetData>
    <row r="1" spans="1:32" s="39" customFormat="1" ht="18.75" x14ac:dyDescent="0.3">
      <c r="A1" s="37" t="s">
        <v>12</v>
      </c>
      <c r="B1" s="38"/>
      <c r="G1" s="37" t="s">
        <v>37</v>
      </c>
      <c r="M1" s="37" t="s">
        <v>39</v>
      </c>
      <c r="N1" s="40"/>
      <c r="O1" s="40"/>
      <c r="S1" s="37" t="s">
        <v>38</v>
      </c>
      <c r="T1" s="40"/>
      <c r="U1" s="38"/>
      <c r="Y1" s="37" t="s">
        <v>40</v>
      </c>
    </row>
    <row r="2" spans="1:32" ht="15.75" thickBot="1" x14ac:dyDescent="0.3">
      <c r="A2" s="1"/>
      <c r="B2"/>
      <c r="G2" s="1"/>
      <c r="M2" s="1"/>
      <c r="N2" s="2"/>
      <c r="S2" s="1"/>
      <c r="T2" s="2"/>
      <c r="Y2" s="1"/>
      <c r="Z2" s="3"/>
      <c r="AA2" s="3"/>
    </row>
    <row r="3" spans="1:32" ht="14.45" customHeight="1" x14ac:dyDescent="0.25">
      <c r="A3" s="282" t="s">
        <v>0</v>
      </c>
      <c r="B3" s="284" t="s">
        <v>145</v>
      </c>
      <c r="C3" s="329"/>
      <c r="D3" s="329"/>
      <c r="E3" s="330"/>
      <c r="G3" s="318" t="s">
        <v>0</v>
      </c>
      <c r="H3" s="318" t="s">
        <v>146</v>
      </c>
      <c r="I3" s="277"/>
      <c r="J3" s="277"/>
      <c r="K3" s="319"/>
      <c r="M3" s="292" t="s">
        <v>0</v>
      </c>
      <c r="N3" s="340" t="s">
        <v>147</v>
      </c>
      <c r="O3" s="340"/>
      <c r="P3" s="340"/>
      <c r="Q3" s="296"/>
      <c r="S3" s="302" t="s">
        <v>0</v>
      </c>
      <c r="T3" s="302" t="s">
        <v>148</v>
      </c>
      <c r="U3" s="354"/>
      <c r="V3" s="354"/>
      <c r="W3" s="304"/>
      <c r="Y3" s="306" t="s">
        <v>0</v>
      </c>
      <c r="Z3" s="310" t="s">
        <v>79</v>
      </c>
      <c r="AA3" s="310"/>
      <c r="AB3" s="310"/>
      <c r="AC3" s="346"/>
    </row>
    <row r="4" spans="1:32" ht="15.75" thickBot="1" x14ac:dyDescent="0.3">
      <c r="A4" s="283"/>
      <c r="B4" s="285"/>
      <c r="C4" s="331"/>
      <c r="D4" s="331"/>
      <c r="E4" s="332"/>
      <c r="G4" s="291"/>
      <c r="H4" s="291"/>
      <c r="I4" s="320"/>
      <c r="J4" s="320"/>
      <c r="K4" s="321"/>
      <c r="M4" s="293"/>
      <c r="N4" s="341"/>
      <c r="O4" s="341"/>
      <c r="P4" s="341"/>
      <c r="Q4" s="297"/>
      <c r="S4" s="303"/>
      <c r="T4" s="303"/>
      <c r="U4" s="355"/>
      <c r="V4" s="355"/>
      <c r="W4" s="305"/>
      <c r="Y4" s="307"/>
      <c r="Z4" s="347"/>
      <c r="AA4" s="347"/>
      <c r="AB4" s="347"/>
      <c r="AC4" s="348"/>
    </row>
    <row r="5" spans="1:32" ht="15.75" thickBot="1" x14ac:dyDescent="0.3">
      <c r="A5" s="283"/>
      <c r="B5" s="333">
        <v>0.08</v>
      </c>
      <c r="C5" s="334"/>
      <c r="D5" s="334"/>
      <c r="E5" s="335"/>
      <c r="G5" s="291"/>
      <c r="H5" s="323">
        <v>0.06</v>
      </c>
      <c r="I5" s="324"/>
      <c r="J5" s="324"/>
      <c r="K5" s="325"/>
      <c r="M5" s="293"/>
      <c r="N5" s="342">
        <v>0.16800000000000001</v>
      </c>
      <c r="O5" s="343"/>
      <c r="P5" s="343"/>
      <c r="Q5" s="344"/>
      <c r="S5" s="303"/>
      <c r="T5" s="356">
        <v>0.16800000000000001</v>
      </c>
      <c r="U5" s="357"/>
      <c r="V5" s="357"/>
      <c r="W5" s="358"/>
      <c r="Y5" s="307"/>
      <c r="Z5" s="349">
        <v>0.17199999999999999</v>
      </c>
      <c r="AA5" s="350"/>
      <c r="AB5" s="350"/>
      <c r="AC5" s="351"/>
    </row>
    <row r="6" spans="1:32" ht="40.15" customHeight="1" thickBot="1" x14ac:dyDescent="0.3">
      <c r="A6" s="283"/>
      <c r="B6" s="282" t="s">
        <v>2</v>
      </c>
      <c r="C6" s="336" t="s">
        <v>78</v>
      </c>
      <c r="D6" s="337"/>
      <c r="E6" s="338"/>
      <c r="G6" s="291"/>
      <c r="H6" s="287" t="s">
        <v>2</v>
      </c>
      <c r="I6" s="327" t="s">
        <v>78</v>
      </c>
      <c r="J6" s="327"/>
      <c r="K6" s="328"/>
      <c r="M6" s="293"/>
      <c r="N6" s="292" t="s">
        <v>2</v>
      </c>
      <c r="O6" s="342" t="s">
        <v>78</v>
      </c>
      <c r="P6" s="343"/>
      <c r="Q6" s="344"/>
      <c r="S6" s="303"/>
      <c r="T6" s="298" t="s">
        <v>2</v>
      </c>
      <c r="U6" s="359" t="s">
        <v>78</v>
      </c>
      <c r="V6" s="360"/>
      <c r="W6" s="361"/>
      <c r="Y6" s="307"/>
      <c r="Z6" s="306" t="s">
        <v>2</v>
      </c>
      <c r="AA6" s="352" t="s">
        <v>78</v>
      </c>
      <c r="AB6" s="352"/>
      <c r="AC6" s="353"/>
    </row>
    <row r="7" spans="1:32" ht="15.75" thickBot="1" x14ac:dyDescent="0.3">
      <c r="A7" s="322"/>
      <c r="B7" s="322"/>
      <c r="C7" s="88" t="s">
        <v>5</v>
      </c>
      <c r="D7" s="88" t="s">
        <v>6</v>
      </c>
      <c r="E7" s="89" t="s">
        <v>7</v>
      </c>
      <c r="G7" s="339"/>
      <c r="H7" s="326"/>
      <c r="I7" s="90" t="s">
        <v>5</v>
      </c>
      <c r="J7" s="91" t="s">
        <v>6</v>
      </c>
      <c r="K7" s="92" t="s">
        <v>7</v>
      </c>
      <c r="M7" s="317"/>
      <c r="N7" s="293"/>
      <c r="O7" s="141" t="s">
        <v>5</v>
      </c>
      <c r="P7" s="142" t="s">
        <v>6</v>
      </c>
      <c r="Q7" s="143" t="s">
        <v>7</v>
      </c>
      <c r="S7" s="345"/>
      <c r="T7" s="299"/>
      <c r="U7" s="138" t="s">
        <v>5</v>
      </c>
      <c r="V7" s="138" t="s">
        <v>6</v>
      </c>
      <c r="W7" s="139" t="s">
        <v>7</v>
      </c>
      <c r="Y7" s="307"/>
      <c r="Z7" s="307"/>
      <c r="AA7" s="94" t="s">
        <v>5</v>
      </c>
      <c r="AB7" s="95" t="s">
        <v>6</v>
      </c>
      <c r="AC7" s="95" t="s">
        <v>7</v>
      </c>
    </row>
    <row r="8" spans="1:32" x14ac:dyDescent="0.25">
      <c r="A8" s="99">
        <v>1E-3</v>
      </c>
      <c r="B8" s="7">
        <v>7.9000000000000001E-2</v>
      </c>
      <c r="C8" s="101">
        <v>2.8299999999999999E-2</v>
      </c>
      <c r="D8" s="101">
        <v>2.92E-2</v>
      </c>
      <c r="E8" s="101">
        <v>3.1600000000000003E-2</v>
      </c>
      <c r="G8" s="99">
        <v>1E-3</v>
      </c>
      <c r="H8" s="7">
        <v>5.8999999999999997E-2</v>
      </c>
      <c r="I8" s="101">
        <v>3.0700000000000002E-2</v>
      </c>
      <c r="J8" s="101">
        <v>3.1600000000000003E-2</v>
      </c>
      <c r="K8" s="101">
        <v>3.39E-2</v>
      </c>
      <c r="M8" s="99">
        <v>1E-3</v>
      </c>
      <c r="N8" s="255">
        <v>0.16700000000000001</v>
      </c>
      <c r="O8" s="255">
        <v>4.0000000000000002E-4</v>
      </c>
      <c r="P8" s="255">
        <v>8.0000000000000004E-4</v>
      </c>
      <c r="Q8" s="255">
        <v>1.6999999999999999E-3</v>
      </c>
      <c r="S8" s="99">
        <v>1E-3</v>
      </c>
      <c r="T8" s="255">
        <v>0.16700000000000001</v>
      </c>
      <c r="U8" s="255">
        <v>8.2000000000000007E-3</v>
      </c>
      <c r="V8" s="255">
        <v>1.5599999999999999E-2</v>
      </c>
      <c r="W8" s="255">
        <v>3.1699999999999999E-2</v>
      </c>
      <c r="Y8" s="99">
        <v>1E-3</v>
      </c>
      <c r="Z8" s="255">
        <v>0.17099999999999999</v>
      </c>
      <c r="AA8" s="103">
        <v>2.9999999999999997E-4</v>
      </c>
      <c r="AB8" s="103">
        <v>5.0000000000000001E-4</v>
      </c>
      <c r="AC8" s="103">
        <v>1E-3</v>
      </c>
      <c r="AD8" s="5"/>
      <c r="AE8" s="5"/>
      <c r="AF8" s="5"/>
    </row>
    <row r="9" spans="1:32" x14ac:dyDescent="0.25">
      <c r="A9" s="100">
        <f>A8+0.1%</f>
        <v>2E-3</v>
      </c>
      <c r="B9" s="7">
        <v>7.8E-2</v>
      </c>
      <c r="C9" s="8">
        <v>2.93E-2</v>
      </c>
      <c r="D9" s="8">
        <v>3.1099999999999999E-2</v>
      </c>
      <c r="E9" s="8">
        <v>3.5799999999999998E-2</v>
      </c>
      <c r="G9" s="100">
        <f>G8+0.1%</f>
        <v>2E-3</v>
      </c>
      <c r="H9" s="7">
        <v>5.7999999999999996E-2</v>
      </c>
      <c r="I9" s="8">
        <v>3.1699999999999999E-2</v>
      </c>
      <c r="J9" s="8">
        <v>3.3500000000000002E-2</v>
      </c>
      <c r="K9" s="8">
        <v>3.7999999999999999E-2</v>
      </c>
      <c r="M9" s="100">
        <f>M8+0.1%</f>
        <v>2E-3</v>
      </c>
      <c r="N9" s="255">
        <v>0.16600000000000001</v>
      </c>
      <c r="O9" s="7">
        <v>8.9999999999999998E-4</v>
      </c>
      <c r="P9" s="7">
        <v>1.6999999999999999E-3</v>
      </c>
      <c r="Q9" s="7">
        <v>3.3999999999999998E-3</v>
      </c>
      <c r="S9" s="100">
        <f>S8+0.1%</f>
        <v>2E-3</v>
      </c>
      <c r="T9" s="255">
        <v>0.16600000000000001</v>
      </c>
      <c r="U9" s="7">
        <v>9.1999999999999998E-3</v>
      </c>
      <c r="V9" s="7">
        <v>1.7500000000000002E-2</v>
      </c>
      <c r="W9" s="7">
        <v>3.5499999999999997E-2</v>
      </c>
      <c r="Y9" s="100">
        <f>Y8+0.1%</f>
        <v>2E-3</v>
      </c>
      <c r="Z9" s="255">
        <v>0.16999999999999998</v>
      </c>
      <c r="AA9" s="257">
        <v>5.0000000000000001E-4</v>
      </c>
      <c r="AB9" s="257">
        <v>1E-3</v>
      </c>
      <c r="AC9" s="257">
        <v>2.0999999999999999E-3</v>
      </c>
      <c r="AD9" s="5"/>
      <c r="AE9" s="5"/>
      <c r="AF9" s="5"/>
    </row>
    <row r="10" spans="1:32" x14ac:dyDescent="0.25">
      <c r="A10" s="100">
        <f t="shared" ref="A10:A44" si="0">A9+0.1%</f>
        <v>3.0000000000000001E-3</v>
      </c>
      <c r="B10" s="7">
        <v>7.6999999999999999E-2</v>
      </c>
      <c r="C10" s="254">
        <v>3.0200000000000001E-2</v>
      </c>
      <c r="D10" s="254">
        <v>3.3000000000000002E-2</v>
      </c>
      <c r="E10" s="254">
        <v>0.04</v>
      </c>
      <c r="G10" s="100">
        <f t="shared" ref="G10:G47" si="1">G9+0.1%</f>
        <v>3.0000000000000001E-3</v>
      </c>
      <c r="H10" s="7">
        <v>5.6999999999999995E-2</v>
      </c>
      <c r="I10" s="254">
        <v>3.27E-2</v>
      </c>
      <c r="J10" s="254">
        <v>3.5299999999999998E-2</v>
      </c>
      <c r="K10" s="254">
        <v>4.2000000000000003E-2</v>
      </c>
      <c r="M10" s="100">
        <f t="shared" ref="M10:M73" si="2">M9+0.1%</f>
        <v>3.0000000000000001E-3</v>
      </c>
      <c r="N10" s="255">
        <v>0.16500000000000001</v>
      </c>
      <c r="O10" s="256">
        <v>1.1000000000000001E-3</v>
      </c>
      <c r="P10" s="256">
        <v>2.0999999999999999E-3</v>
      </c>
      <c r="Q10" s="256">
        <v>4.1999999999999997E-3</v>
      </c>
      <c r="S10" s="100">
        <f t="shared" ref="S10:S73" si="3">S9+0.1%</f>
        <v>3.0000000000000001E-3</v>
      </c>
      <c r="T10" s="255">
        <v>0.16500000000000001</v>
      </c>
      <c r="U10" s="256">
        <v>1.0200000000000001E-2</v>
      </c>
      <c r="V10" s="256">
        <v>1.9400000000000001E-2</v>
      </c>
      <c r="W10" s="256">
        <v>3.9300000000000002E-2</v>
      </c>
      <c r="Y10" s="100">
        <f t="shared" ref="Y10:Y73" si="4">Y9+0.1%</f>
        <v>3.0000000000000001E-3</v>
      </c>
      <c r="Z10" s="255">
        <v>0.16899999999999998</v>
      </c>
      <c r="AA10" s="257">
        <v>1.5E-3</v>
      </c>
      <c r="AB10" s="257">
        <v>2.8999999999999998E-3</v>
      </c>
      <c r="AC10" s="257">
        <v>5.8999999999999999E-3</v>
      </c>
      <c r="AD10" s="5"/>
      <c r="AE10" s="5"/>
      <c r="AF10" s="5"/>
    </row>
    <row r="11" spans="1:32" x14ac:dyDescent="0.25">
      <c r="A11" s="100">
        <f t="shared" si="0"/>
        <v>4.0000000000000001E-3</v>
      </c>
      <c r="B11" s="7">
        <v>7.5999999999999998E-2</v>
      </c>
      <c r="C11" s="254">
        <v>3.1199999999999999E-2</v>
      </c>
      <c r="D11" s="254">
        <v>3.49E-2</v>
      </c>
      <c r="E11" s="254">
        <v>4.41E-2</v>
      </c>
      <c r="G11" s="100">
        <f t="shared" si="1"/>
        <v>4.0000000000000001E-3</v>
      </c>
      <c r="H11" s="7">
        <v>5.5999999999999994E-2</v>
      </c>
      <c r="I11" s="254">
        <v>3.3599999999999998E-2</v>
      </c>
      <c r="J11" s="254">
        <v>3.7199999999999997E-2</v>
      </c>
      <c r="K11" s="254">
        <v>4.6100000000000002E-2</v>
      </c>
      <c r="M11" s="100">
        <f t="shared" si="2"/>
        <v>4.0000000000000001E-3</v>
      </c>
      <c r="N11" s="255">
        <v>0.16400000000000001</v>
      </c>
      <c r="O11" s="256">
        <v>2.0999999999999999E-3</v>
      </c>
      <c r="P11" s="256">
        <v>3.8999999999999998E-3</v>
      </c>
      <c r="Q11" s="256">
        <v>8.0000000000000002E-3</v>
      </c>
      <c r="S11" s="100">
        <f t="shared" si="3"/>
        <v>4.0000000000000001E-3</v>
      </c>
      <c r="T11" s="255">
        <v>0.16400000000000001</v>
      </c>
      <c r="U11" s="256">
        <v>1.12E-2</v>
      </c>
      <c r="V11" s="256">
        <v>2.1299999999999999E-2</v>
      </c>
      <c r="W11" s="256">
        <v>4.3099999999999999E-2</v>
      </c>
      <c r="Y11" s="100">
        <f t="shared" si="4"/>
        <v>4.0000000000000001E-3</v>
      </c>
      <c r="Z11" s="255">
        <v>0.16799999999999998</v>
      </c>
      <c r="AA11" s="257">
        <v>2.5000000000000001E-3</v>
      </c>
      <c r="AB11" s="257">
        <v>4.7999999999999996E-3</v>
      </c>
      <c r="AC11" s="257">
        <v>9.7000000000000003E-3</v>
      </c>
      <c r="AD11" s="5"/>
      <c r="AE11" s="5"/>
      <c r="AF11" s="5"/>
    </row>
    <row r="12" spans="1:32" x14ac:dyDescent="0.25">
      <c r="A12" s="100">
        <f t="shared" si="0"/>
        <v>5.0000000000000001E-3</v>
      </c>
      <c r="B12" s="7">
        <v>7.4999999999999997E-2</v>
      </c>
      <c r="C12" s="254">
        <v>3.2199999999999999E-2</v>
      </c>
      <c r="D12" s="254">
        <v>3.6700000000000003E-2</v>
      </c>
      <c r="E12" s="254">
        <v>4.8300000000000003E-2</v>
      </c>
      <c r="G12" s="100">
        <f t="shared" si="1"/>
        <v>5.0000000000000001E-3</v>
      </c>
      <c r="H12" s="7">
        <v>5.5E-2</v>
      </c>
      <c r="I12" s="254">
        <v>3.4599999999999999E-2</v>
      </c>
      <c r="J12" s="254">
        <v>3.9E-2</v>
      </c>
      <c r="K12" s="254">
        <v>5.0200000000000002E-2</v>
      </c>
      <c r="M12" s="100">
        <f t="shared" si="2"/>
        <v>5.0000000000000001E-3</v>
      </c>
      <c r="N12" s="255">
        <v>0.16300000000000001</v>
      </c>
      <c r="O12" s="256">
        <v>3.0000000000000001E-3</v>
      </c>
      <c r="P12" s="256">
        <v>5.7999999999999996E-3</v>
      </c>
      <c r="Q12" s="256">
        <v>1.18E-2</v>
      </c>
      <c r="S12" s="100">
        <f t="shared" si="3"/>
        <v>5.0000000000000001E-3</v>
      </c>
      <c r="T12" s="255">
        <v>0.16300000000000001</v>
      </c>
      <c r="U12" s="256">
        <v>1.2200000000000001E-2</v>
      </c>
      <c r="V12" s="256">
        <v>2.3099999999999999E-2</v>
      </c>
      <c r="W12" s="256">
        <v>4.6899999999999997E-2</v>
      </c>
      <c r="Y12" s="100">
        <f t="shared" si="4"/>
        <v>5.0000000000000001E-3</v>
      </c>
      <c r="Z12" s="255">
        <v>0.16699999999999998</v>
      </c>
      <c r="AA12" s="257">
        <v>3.5000000000000001E-3</v>
      </c>
      <c r="AB12" s="257">
        <v>6.7000000000000002E-3</v>
      </c>
      <c r="AC12" s="257">
        <v>1.35E-2</v>
      </c>
      <c r="AD12" s="5"/>
      <c r="AE12" s="5"/>
      <c r="AF12" s="5"/>
    </row>
    <row r="13" spans="1:32" x14ac:dyDescent="0.25">
      <c r="A13" s="100">
        <f t="shared" si="0"/>
        <v>6.0000000000000001E-3</v>
      </c>
      <c r="B13" s="7">
        <v>7.3999999999999996E-2</v>
      </c>
      <c r="C13" s="254">
        <v>3.3099999999999997E-2</v>
      </c>
      <c r="D13" s="254">
        <v>3.8600000000000002E-2</v>
      </c>
      <c r="E13" s="254">
        <v>5.2400000000000002E-2</v>
      </c>
      <c r="G13" s="100">
        <f t="shared" si="1"/>
        <v>6.0000000000000001E-3</v>
      </c>
      <c r="H13" s="7">
        <v>5.3999999999999999E-2</v>
      </c>
      <c r="I13" s="254">
        <v>3.5499999999999997E-2</v>
      </c>
      <c r="J13" s="254">
        <v>4.0899999999999999E-2</v>
      </c>
      <c r="K13" s="254">
        <v>5.4199999999999998E-2</v>
      </c>
      <c r="M13" s="100">
        <f t="shared" si="2"/>
        <v>6.0000000000000001E-3</v>
      </c>
      <c r="N13" s="255">
        <v>0.16200000000000001</v>
      </c>
      <c r="O13" s="256">
        <v>4.0000000000000001E-3</v>
      </c>
      <c r="P13" s="256">
        <v>7.7000000000000002E-3</v>
      </c>
      <c r="Q13" s="256">
        <v>1.5599999999999999E-2</v>
      </c>
      <c r="S13" s="100">
        <f t="shared" si="3"/>
        <v>6.0000000000000001E-3</v>
      </c>
      <c r="T13" s="255">
        <v>0.16200000000000001</v>
      </c>
      <c r="U13" s="256">
        <v>1.3100000000000001E-2</v>
      </c>
      <c r="V13" s="256">
        <v>2.5000000000000001E-2</v>
      </c>
      <c r="W13" s="256">
        <v>5.0700000000000002E-2</v>
      </c>
      <c r="Y13" s="100">
        <f t="shared" si="4"/>
        <v>6.0000000000000001E-3</v>
      </c>
      <c r="Z13" s="255">
        <v>0.16599999999999998</v>
      </c>
      <c r="AA13" s="257">
        <v>4.4999999999999997E-3</v>
      </c>
      <c r="AB13" s="257">
        <v>8.5000000000000006E-3</v>
      </c>
      <c r="AC13" s="257">
        <v>1.7399999999999999E-2</v>
      </c>
      <c r="AD13" s="5"/>
      <c r="AE13" s="5"/>
      <c r="AF13" s="5"/>
    </row>
    <row r="14" spans="1:32" x14ac:dyDescent="0.25">
      <c r="A14" s="100">
        <f t="shared" si="0"/>
        <v>7.0000000000000001E-3</v>
      </c>
      <c r="B14" s="7">
        <v>7.2999999999999995E-2</v>
      </c>
      <c r="C14" s="254">
        <v>3.4099999999999998E-2</v>
      </c>
      <c r="D14" s="254">
        <v>4.0500000000000001E-2</v>
      </c>
      <c r="E14" s="254">
        <v>5.6599999999999998E-2</v>
      </c>
      <c r="G14" s="100">
        <f t="shared" si="1"/>
        <v>7.0000000000000001E-3</v>
      </c>
      <c r="H14" s="7">
        <v>5.2999999999999999E-2</v>
      </c>
      <c r="I14" s="254">
        <v>3.6499999999999998E-2</v>
      </c>
      <c r="J14" s="254">
        <v>4.2799999999999998E-2</v>
      </c>
      <c r="K14" s="254">
        <v>5.8299999999999998E-2</v>
      </c>
      <c r="M14" s="100">
        <f t="shared" si="2"/>
        <v>7.0000000000000001E-3</v>
      </c>
      <c r="N14" s="255">
        <v>0.161</v>
      </c>
      <c r="O14" s="256">
        <v>5.0000000000000001E-3</v>
      </c>
      <c r="P14" s="256">
        <v>9.4999999999999998E-3</v>
      </c>
      <c r="Q14" s="256">
        <v>1.9300000000000001E-2</v>
      </c>
      <c r="S14" s="100">
        <f t="shared" si="3"/>
        <v>7.0000000000000001E-3</v>
      </c>
      <c r="T14" s="255">
        <v>0.161</v>
      </c>
      <c r="U14" s="256">
        <v>1.41E-2</v>
      </c>
      <c r="V14" s="256">
        <v>2.69E-2</v>
      </c>
      <c r="W14" s="256">
        <v>5.45E-2</v>
      </c>
      <c r="Y14" s="100">
        <f t="shared" si="4"/>
        <v>7.0000000000000001E-3</v>
      </c>
      <c r="Z14" s="255">
        <v>0.16499999999999998</v>
      </c>
      <c r="AA14" s="257">
        <v>5.4999999999999997E-3</v>
      </c>
      <c r="AB14" s="257">
        <v>1.04E-2</v>
      </c>
      <c r="AC14" s="257">
        <v>2.12E-2</v>
      </c>
      <c r="AD14" s="5"/>
      <c r="AE14" s="5"/>
      <c r="AF14" s="5"/>
    </row>
    <row r="15" spans="1:32" x14ac:dyDescent="0.25">
      <c r="A15" s="100">
        <f t="shared" si="0"/>
        <v>8.0000000000000002E-3</v>
      </c>
      <c r="B15" s="7">
        <v>7.2000000000000008E-2</v>
      </c>
      <c r="C15" s="254">
        <v>3.5099999999999999E-2</v>
      </c>
      <c r="D15" s="254">
        <v>4.2299999999999997E-2</v>
      </c>
      <c r="E15" s="254">
        <v>6.0699999999999997E-2</v>
      </c>
      <c r="G15" s="100">
        <f t="shared" si="1"/>
        <v>8.0000000000000002E-3</v>
      </c>
      <c r="H15" s="7">
        <v>5.1999999999999998E-2</v>
      </c>
      <c r="I15" s="254">
        <v>3.7499999999999999E-2</v>
      </c>
      <c r="J15" s="254">
        <v>4.4600000000000001E-2</v>
      </c>
      <c r="K15" s="254">
        <v>6.2300000000000001E-2</v>
      </c>
      <c r="M15" s="100">
        <f t="shared" si="2"/>
        <v>8.0000000000000002E-3</v>
      </c>
      <c r="N15" s="255">
        <v>0.16</v>
      </c>
      <c r="O15" s="256">
        <v>6.0000000000000001E-3</v>
      </c>
      <c r="P15" s="256">
        <v>1.14E-2</v>
      </c>
      <c r="Q15" s="256">
        <v>2.3099999999999999E-2</v>
      </c>
      <c r="S15" s="100">
        <f t="shared" si="3"/>
        <v>8.0000000000000002E-3</v>
      </c>
      <c r="T15" s="255">
        <v>0.16</v>
      </c>
      <c r="U15" s="256">
        <v>1.5100000000000001E-2</v>
      </c>
      <c r="V15" s="256">
        <v>2.8799999999999999E-2</v>
      </c>
      <c r="W15" s="256">
        <v>5.8299999999999998E-2</v>
      </c>
      <c r="Y15" s="100">
        <f t="shared" si="4"/>
        <v>8.0000000000000002E-3</v>
      </c>
      <c r="Z15" s="255">
        <v>0.16399999999999998</v>
      </c>
      <c r="AA15" s="257">
        <v>6.4999999999999997E-3</v>
      </c>
      <c r="AB15" s="257">
        <v>1.23E-2</v>
      </c>
      <c r="AC15" s="257">
        <v>2.5000000000000001E-2</v>
      </c>
      <c r="AD15" s="5"/>
      <c r="AE15" s="5"/>
      <c r="AF15" s="5"/>
    </row>
    <row r="16" spans="1:32" x14ac:dyDescent="0.25">
      <c r="A16" s="100">
        <f t="shared" si="0"/>
        <v>9.0000000000000011E-3</v>
      </c>
      <c r="B16" s="7">
        <v>7.1000000000000008E-2</v>
      </c>
      <c r="C16" s="254">
        <v>3.5999999999999997E-2</v>
      </c>
      <c r="D16" s="254">
        <v>4.4200000000000003E-2</v>
      </c>
      <c r="E16" s="254">
        <v>6.4799999999999996E-2</v>
      </c>
      <c r="G16" s="100">
        <f t="shared" si="1"/>
        <v>9.0000000000000011E-3</v>
      </c>
      <c r="H16" s="7">
        <v>5.0999999999999997E-2</v>
      </c>
      <c r="I16" s="254">
        <v>3.8399999999999997E-2</v>
      </c>
      <c r="J16" s="254">
        <v>4.65E-2</v>
      </c>
      <c r="K16" s="254">
        <v>6.6400000000000001E-2</v>
      </c>
      <c r="M16" s="100">
        <f t="shared" si="2"/>
        <v>9.0000000000000011E-3</v>
      </c>
      <c r="N16" s="255">
        <v>0.159</v>
      </c>
      <c r="O16" s="256">
        <v>7.0000000000000001E-3</v>
      </c>
      <c r="P16" s="256">
        <v>1.3299999999999999E-2</v>
      </c>
      <c r="Q16" s="256">
        <v>2.69E-2</v>
      </c>
      <c r="S16" s="100">
        <f t="shared" si="3"/>
        <v>9.0000000000000011E-3</v>
      </c>
      <c r="T16" s="255">
        <v>0.159</v>
      </c>
      <c r="U16" s="256">
        <v>1.61E-2</v>
      </c>
      <c r="V16" s="256">
        <v>3.0700000000000002E-2</v>
      </c>
      <c r="W16" s="256">
        <v>6.2100000000000002E-2</v>
      </c>
      <c r="Y16" s="100">
        <f t="shared" si="4"/>
        <v>9.0000000000000011E-3</v>
      </c>
      <c r="Z16" s="255">
        <v>0.16299999999999998</v>
      </c>
      <c r="AA16" s="257">
        <v>7.4000000000000003E-3</v>
      </c>
      <c r="AB16" s="257">
        <v>1.4200000000000001E-2</v>
      </c>
      <c r="AC16" s="257">
        <v>2.8799999999999999E-2</v>
      </c>
      <c r="AD16" s="5"/>
      <c r="AE16" s="5"/>
      <c r="AF16" s="5"/>
    </row>
    <row r="17" spans="1:32" x14ac:dyDescent="0.25">
      <c r="A17" s="100">
        <f t="shared" si="0"/>
        <v>1.0000000000000002E-2</v>
      </c>
      <c r="B17" s="7">
        <v>7.0000000000000007E-2</v>
      </c>
      <c r="C17" s="254">
        <v>3.6999999999999998E-2</v>
      </c>
      <c r="D17" s="254">
        <v>4.6100000000000002E-2</v>
      </c>
      <c r="E17" s="254">
        <v>6.8900000000000003E-2</v>
      </c>
      <c r="G17" s="100">
        <f t="shared" si="1"/>
        <v>1.0000000000000002E-2</v>
      </c>
      <c r="H17" s="7">
        <v>4.9999999999999996E-2</v>
      </c>
      <c r="I17" s="254">
        <v>3.9399999999999998E-2</v>
      </c>
      <c r="J17" s="254">
        <v>4.8300000000000003E-2</v>
      </c>
      <c r="K17" s="254">
        <v>7.0400000000000004E-2</v>
      </c>
      <c r="M17" s="100">
        <f t="shared" si="2"/>
        <v>1.0000000000000002E-2</v>
      </c>
      <c r="N17" s="255">
        <v>0.158</v>
      </c>
      <c r="O17" s="256">
        <v>7.9000000000000008E-3</v>
      </c>
      <c r="P17" s="256">
        <v>1.5100000000000001E-2</v>
      </c>
      <c r="Q17" s="256">
        <v>3.0700000000000002E-2</v>
      </c>
      <c r="S17" s="100">
        <f t="shared" si="3"/>
        <v>1.0000000000000002E-2</v>
      </c>
      <c r="T17" s="255">
        <v>0.158</v>
      </c>
      <c r="U17" s="256">
        <v>1.7100000000000001E-2</v>
      </c>
      <c r="V17" s="256">
        <v>3.2500000000000001E-2</v>
      </c>
      <c r="W17" s="256">
        <v>6.59E-2</v>
      </c>
      <c r="Y17" s="100">
        <f t="shared" si="4"/>
        <v>1.0000000000000002E-2</v>
      </c>
      <c r="Z17" s="255">
        <v>0.16199999999999998</v>
      </c>
      <c r="AA17" s="257">
        <v>8.3999999999999995E-3</v>
      </c>
      <c r="AB17" s="257">
        <v>1.6E-2</v>
      </c>
      <c r="AC17" s="257">
        <v>3.2599999999999997E-2</v>
      </c>
      <c r="AD17" s="5"/>
      <c r="AE17" s="5"/>
      <c r="AF17" s="5"/>
    </row>
    <row r="18" spans="1:32" x14ac:dyDescent="0.25">
      <c r="A18" s="100">
        <f t="shared" si="0"/>
        <v>1.1000000000000003E-2</v>
      </c>
      <c r="B18" s="7">
        <v>6.9000000000000006E-2</v>
      </c>
      <c r="C18" s="254">
        <v>3.7999999999999999E-2</v>
      </c>
      <c r="D18" s="254">
        <v>4.7899999999999998E-2</v>
      </c>
      <c r="E18" s="254">
        <v>7.2999999999999995E-2</v>
      </c>
      <c r="G18" s="100">
        <f t="shared" si="1"/>
        <v>1.1000000000000003E-2</v>
      </c>
      <c r="H18" s="7">
        <v>4.8999999999999995E-2</v>
      </c>
      <c r="I18" s="254">
        <v>4.0300000000000002E-2</v>
      </c>
      <c r="J18" s="254">
        <v>5.0099999999999999E-2</v>
      </c>
      <c r="K18" s="254">
        <v>7.4399999999999994E-2</v>
      </c>
      <c r="M18" s="100">
        <f t="shared" si="2"/>
        <v>1.1000000000000003E-2</v>
      </c>
      <c r="N18" s="255">
        <v>0.157</v>
      </c>
      <c r="O18" s="256">
        <v>8.8999999999999999E-3</v>
      </c>
      <c r="P18" s="256">
        <v>1.7000000000000001E-2</v>
      </c>
      <c r="Q18" s="256">
        <v>3.44E-2</v>
      </c>
      <c r="S18" s="100">
        <f t="shared" si="3"/>
        <v>1.1000000000000003E-2</v>
      </c>
      <c r="T18" s="255">
        <v>0.157</v>
      </c>
      <c r="U18" s="256">
        <v>1.8100000000000002E-2</v>
      </c>
      <c r="V18" s="256">
        <v>3.44E-2</v>
      </c>
      <c r="W18" s="256">
        <v>6.9599999999999995E-2</v>
      </c>
      <c r="Y18" s="100">
        <f t="shared" si="4"/>
        <v>1.1000000000000003E-2</v>
      </c>
      <c r="Z18" s="255">
        <v>0.16099999999999998</v>
      </c>
      <c r="AA18" s="257">
        <v>9.4000000000000004E-3</v>
      </c>
      <c r="AB18" s="257">
        <v>1.7899999999999999E-2</v>
      </c>
      <c r="AC18" s="257">
        <v>3.6299999999999999E-2</v>
      </c>
      <c r="AD18" s="5"/>
      <c r="AE18" s="5"/>
      <c r="AF18" s="5"/>
    </row>
    <row r="19" spans="1:32" x14ac:dyDescent="0.25">
      <c r="A19" s="100">
        <f t="shared" si="0"/>
        <v>1.2000000000000004E-2</v>
      </c>
      <c r="B19" s="7">
        <v>6.8000000000000005E-2</v>
      </c>
      <c r="C19" s="254">
        <v>3.8899999999999997E-2</v>
      </c>
      <c r="D19" s="254">
        <v>4.9799999999999997E-2</v>
      </c>
      <c r="E19" s="254">
        <v>7.7200000000000005E-2</v>
      </c>
      <c r="G19" s="100">
        <f t="shared" si="1"/>
        <v>1.2000000000000004E-2</v>
      </c>
      <c r="H19" s="7">
        <v>4.7999999999999994E-2</v>
      </c>
      <c r="I19" s="254">
        <v>4.1300000000000003E-2</v>
      </c>
      <c r="J19" s="254">
        <v>5.1999999999999998E-2</v>
      </c>
      <c r="K19" s="254">
        <v>7.85E-2</v>
      </c>
      <c r="M19" s="100">
        <f t="shared" si="2"/>
        <v>1.2000000000000004E-2</v>
      </c>
      <c r="N19" s="255">
        <v>0.156</v>
      </c>
      <c r="O19" s="256">
        <v>9.9000000000000008E-3</v>
      </c>
      <c r="P19" s="256">
        <v>1.8800000000000001E-2</v>
      </c>
      <c r="Q19" s="256">
        <v>3.8199999999999998E-2</v>
      </c>
      <c r="S19" s="100">
        <f t="shared" si="3"/>
        <v>1.2000000000000004E-2</v>
      </c>
      <c r="T19" s="255">
        <v>0.156</v>
      </c>
      <c r="U19" s="256">
        <v>1.9099999999999999E-2</v>
      </c>
      <c r="V19" s="256">
        <v>3.6299999999999999E-2</v>
      </c>
      <c r="W19" s="256">
        <v>7.3400000000000007E-2</v>
      </c>
      <c r="Y19" s="100">
        <f t="shared" si="4"/>
        <v>1.2000000000000004E-2</v>
      </c>
      <c r="Z19" s="255">
        <v>0.15999999999999998</v>
      </c>
      <c r="AA19" s="257">
        <v>1.04E-2</v>
      </c>
      <c r="AB19" s="257">
        <v>1.9800000000000002E-2</v>
      </c>
      <c r="AC19" s="257">
        <v>4.0099999999999997E-2</v>
      </c>
      <c r="AD19" s="5"/>
      <c r="AE19" s="5"/>
      <c r="AF19" s="5"/>
    </row>
    <row r="20" spans="1:32" x14ac:dyDescent="0.25">
      <c r="A20" s="100">
        <f t="shared" si="0"/>
        <v>1.3000000000000005E-2</v>
      </c>
      <c r="B20" s="7">
        <v>6.7000000000000004E-2</v>
      </c>
      <c r="C20" s="254">
        <v>3.9899999999999998E-2</v>
      </c>
      <c r="D20" s="254">
        <v>5.1700000000000003E-2</v>
      </c>
      <c r="E20" s="254">
        <v>8.1199999999999994E-2</v>
      </c>
      <c r="G20" s="100">
        <f t="shared" si="1"/>
        <v>1.3000000000000005E-2</v>
      </c>
      <c r="H20" s="7">
        <v>4.6999999999999993E-2</v>
      </c>
      <c r="I20" s="254">
        <v>4.2299999999999997E-2</v>
      </c>
      <c r="J20" s="254">
        <v>5.3800000000000001E-2</v>
      </c>
      <c r="K20" s="254">
        <v>8.2500000000000004E-2</v>
      </c>
      <c r="M20" s="100">
        <f t="shared" si="2"/>
        <v>1.3000000000000005E-2</v>
      </c>
      <c r="N20" s="255">
        <v>0.155</v>
      </c>
      <c r="O20" s="256">
        <v>1.09E-2</v>
      </c>
      <c r="P20" s="256">
        <v>2.07E-2</v>
      </c>
      <c r="Q20" s="256">
        <v>4.19E-2</v>
      </c>
      <c r="S20" s="100">
        <f t="shared" si="3"/>
        <v>1.3000000000000005E-2</v>
      </c>
      <c r="T20" s="255">
        <v>0.155</v>
      </c>
      <c r="U20" s="256">
        <v>2.01E-2</v>
      </c>
      <c r="V20" s="256">
        <v>3.8199999999999998E-2</v>
      </c>
      <c r="W20" s="256">
        <v>7.7200000000000005E-2</v>
      </c>
      <c r="Y20" s="100">
        <f t="shared" si="4"/>
        <v>1.3000000000000005E-2</v>
      </c>
      <c r="Z20" s="255">
        <v>0.15899999999999997</v>
      </c>
      <c r="AA20" s="257">
        <v>1.14E-2</v>
      </c>
      <c r="AB20" s="257">
        <v>2.1700000000000001E-2</v>
      </c>
      <c r="AC20" s="257">
        <v>4.3900000000000002E-2</v>
      </c>
      <c r="AD20" s="5"/>
      <c r="AE20" s="5"/>
      <c r="AF20" s="5"/>
    </row>
    <row r="21" spans="1:32" x14ac:dyDescent="0.25">
      <c r="A21" s="100">
        <f t="shared" si="0"/>
        <v>1.4000000000000005E-2</v>
      </c>
      <c r="B21" s="7">
        <v>6.6000000000000003E-2</v>
      </c>
      <c r="C21" s="254">
        <v>4.0899999999999999E-2</v>
      </c>
      <c r="D21" s="254">
        <v>5.3499999999999999E-2</v>
      </c>
      <c r="E21" s="254">
        <v>8.5300000000000001E-2</v>
      </c>
      <c r="G21" s="100">
        <f t="shared" si="1"/>
        <v>1.4000000000000005E-2</v>
      </c>
      <c r="H21" s="7">
        <v>4.5999999999999992E-2</v>
      </c>
      <c r="I21" s="254">
        <v>4.3200000000000002E-2</v>
      </c>
      <c r="J21" s="254">
        <v>5.57E-2</v>
      </c>
      <c r="K21" s="254">
        <v>8.6499999999999994E-2</v>
      </c>
      <c r="M21" s="100">
        <f t="shared" si="2"/>
        <v>1.4000000000000005E-2</v>
      </c>
      <c r="N21" s="255">
        <v>0.154</v>
      </c>
      <c r="O21" s="256">
        <v>1.1900000000000001E-2</v>
      </c>
      <c r="P21" s="256">
        <v>2.2599999999999999E-2</v>
      </c>
      <c r="Q21" s="256">
        <v>4.5699999999999998E-2</v>
      </c>
      <c r="S21" s="100">
        <f t="shared" si="3"/>
        <v>1.4000000000000005E-2</v>
      </c>
      <c r="T21" s="255">
        <v>0.154</v>
      </c>
      <c r="U21" s="256">
        <v>2.1100000000000001E-2</v>
      </c>
      <c r="V21" s="256">
        <v>4.0099999999999997E-2</v>
      </c>
      <c r="W21" s="256">
        <v>8.09E-2</v>
      </c>
      <c r="Y21" s="100">
        <f t="shared" si="4"/>
        <v>1.4000000000000005E-2</v>
      </c>
      <c r="Z21" s="255">
        <v>0.15799999999999997</v>
      </c>
      <c r="AA21" s="257">
        <v>1.24E-2</v>
      </c>
      <c r="AB21" s="257">
        <v>2.35E-2</v>
      </c>
      <c r="AC21" s="257">
        <v>4.7699999999999999E-2</v>
      </c>
      <c r="AD21" s="5"/>
      <c r="AE21" s="5"/>
      <c r="AF21" s="5"/>
    </row>
    <row r="22" spans="1:32" x14ac:dyDescent="0.25">
      <c r="A22" s="100">
        <f t="shared" si="0"/>
        <v>1.5000000000000006E-2</v>
      </c>
      <c r="B22" s="7">
        <v>6.5000000000000002E-2</v>
      </c>
      <c r="C22" s="8">
        <v>4.1799999999999997E-2</v>
      </c>
      <c r="D22" s="8">
        <v>5.5399999999999998E-2</v>
      </c>
      <c r="E22" s="8">
        <v>8.9399999999999993E-2</v>
      </c>
      <c r="G22" s="100">
        <f t="shared" si="1"/>
        <v>1.5000000000000006E-2</v>
      </c>
      <c r="H22" s="7">
        <v>4.4999999999999991E-2</v>
      </c>
      <c r="I22" s="8">
        <v>4.4200000000000003E-2</v>
      </c>
      <c r="J22" s="8">
        <v>5.7500000000000002E-2</v>
      </c>
      <c r="K22" s="8">
        <v>9.0399999999999994E-2</v>
      </c>
      <c r="M22" s="100">
        <f t="shared" si="2"/>
        <v>1.5000000000000006E-2</v>
      </c>
      <c r="N22" s="255">
        <v>0.153</v>
      </c>
      <c r="O22" s="256">
        <v>1.2800000000000001E-2</v>
      </c>
      <c r="P22" s="256">
        <v>2.4400000000000002E-2</v>
      </c>
      <c r="Q22" s="256">
        <v>4.9399999999999999E-2</v>
      </c>
      <c r="S22" s="100">
        <f t="shared" si="3"/>
        <v>1.5000000000000006E-2</v>
      </c>
      <c r="T22" s="255">
        <v>0.153</v>
      </c>
      <c r="U22" s="256">
        <v>2.2100000000000002E-2</v>
      </c>
      <c r="V22" s="256">
        <v>4.19E-2</v>
      </c>
      <c r="W22" s="256">
        <v>8.4699999999999998E-2</v>
      </c>
      <c r="Y22" s="100">
        <f t="shared" si="4"/>
        <v>1.5000000000000006E-2</v>
      </c>
      <c r="Z22" s="255">
        <v>0.15699999999999997</v>
      </c>
      <c r="AA22" s="257">
        <v>1.34E-2</v>
      </c>
      <c r="AB22" s="257">
        <v>2.5399999999999999E-2</v>
      </c>
      <c r="AC22" s="257">
        <v>5.1400000000000001E-2</v>
      </c>
      <c r="AD22" s="5"/>
      <c r="AE22" s="5"/>
      <c r="AF22" s="5"/>
    </row>
    <row r="23" spans="1:32" x14ac:dyDescent="0.25">
      <c r="A23" s="100">
        <f t="shared" si="0"/>
        <v>1.6000000000000007E-2</v>
      </c>
      <c r="B23" s="9">
        <v>6.4000000000000001E-2</v>
      </c>
      <c r="C23" s="8">
        <v>4.2799999999999998E-2</v>
      </c>
      <c r="D23" s="8">
        <v>5.7200000000000001E-2</v>
      </c>
      <c r="E23" s="8">
        <v>9.35E-2</v>
      </c>
      <c r="G23" s="100">
        <f t="shared" si="1"/>
        <v>1.6000000000000007E-2</v>
      </c>
      <c r="H23" s="9">
        <v>4.3999999999999991E-2</v>
      </c>
      <c r="I23" s="254">
        <v>4.5100000000000001E-2</v>
      </c>
      <c r="J23" s="8">
        <v>5.9299999999999999E-2</v>
      </c>
      <c r="K23" s="254">
        <v>9.4399999999999998E-2</v>
      </c>
      <c r="M23" s="100">
        <f t="shared" si="2"/>
        <v>1.6000000000000007E-2</v>
      </c>
      <c r="N23" s="255">
        <v>0.152</v>
      </c>
      <c r="O23" s="256">
        <v>1.38E-2</v>
      </c>
      <c r="P23" s="256">
        <v>2.63E-2</v>
      </c>
      <c r="Q23" s="256">
        <v>5.3100000000000001E-2</v>
      </c>
      <c r="S23" s="100">
        <f t="shared" si="3"/>
        <v>1.6000000000000007E-2</v>
      </c>
      <c r="T23" s="255">
        <v>0.152</v>
      </c>
      <c r="U23" s="256">
        <v>2.3099999999999999E-2</v>
      </c>
      <c r="V23" s="256">
        <v>4.3799999999999999E-2</v>
      </c>
      <c r="W23" s="256">
        <v>8.8400000000000006E-2</v>
      </c>
      <c r="Y23" s="100">
        <f t="shared" si="4"/>
        <v>1.6000000000000007E-2</v>
      </c>
      <c r="Z23" s="255">
        <v>0.15599999999999997</v>
      </c>
      <c r="AA23" s="257">
        <v>1.43E-2</v>
      </c>
      <c r="AB23" s="257">
        <v>2.7300000000000001E-2</v>
      </c>
      <c r="AC23" s="257">
        <v>5.5199999999999999E-2</v>
      </c>
      <c r="AD23" s="5"/>
      <c r="AE23" s="5"/>
      <c r="AF23" s="5"/>
    </row>
    <row r="24" spans="1:32" x14ac:dyDescent="0.25">
      <c r="A24" s="100">
        <f t="shared" si="0"/>
        <v>1.7000000000000008E-2</v>
      </c>
      <c r="B24" s="9">
        <v>6.3E-2</v>
      </c>
      <c r="C24" s="254">
        <v>4.3799999999999999E-2</v>
      </c>
      <c r="D24" s="8">
        <v>5.91E-2</v>
      </c>
      <c r="E24" s="254">
        <v>9.7600000000000006E-2</v>
      </c>
      <c r="G24" s="100">
        <f t="shared" si="1"/>
        <v>1.7000000000000008E-2</v>
      </c>
      <c r="H24" s="9">
        <v>4.299999999999999E-2</v>
      </c>
      <c r="I24" s="254">
        <v>4.6100000000000002E-2</v>
      </c>
      <c r="J24" s="8">
        <v>6.1199999999999997E-2</v>
      </c>
      <c r="K24" s="254">
        <v>9.8400000000000001E-2</v>
      </c>
      <c r="M24" s="100">
        <f t="shared" si="2"/>
        <v>1.7000000000000008E-2</v>
      </c>
      <c r="N24" s="255">
        <v>0.151</v>
      </c>
      <c r="O24" s="256">
        <v>1.4800000000000001E-2</v>
      </c>
      <c r="P24" s="256">
        <v>2.81E-2</v>
      </c>
      <c r="Q24" s="256">
        <v>5.6899999999999999E-2</v>
      </c>
      <c r="S24" s="100">
        <f t="shared" si="3"/>
        <v>1.7000000000000008E-2</v>
      </c>
      <c r="T24" s="255">
        <v>0.151</v>
      </c>
      <c r="U24" s="256">
        <v>2.4E-2</v>
      </c>
      <c r="V24" s="256">
        <v>4.5699999999999998E-2</v>
      </c>
      <c r="W24" s="256">
        <v>9.2100000000000001E-2</v>
      </c>
      <c r="Y24" s="100">
        <f t="shared" si="4"/>
        <v>1.7000000000000008E-2</v>
      </c>
      <c r="Z24" s="255">
        <v>0.15499999999999997</v>
      </c>
      <c r="AA24" s="257">
        <v>1.5299999999999999E-2</v>
      </c>
      <c r="AB24" s="257">
        <v>2.9100000000000001E-2</v>
      </c>
      <c r="AC24" s="257">
        <v>5.8999999999999997E-2</v>
      </c>
      <c r="AD24" s="5"/>
      <c r="AE24" s="5"/>
      <c r="AF24" s="5"/>
    </row>
    <row r="25" spans="1:32" x14ac:dyDescent="0.25">
      <c r="A25" s="100">
        <f t="shared" si="0"/>
        <v>1.8000000000000009E-2</v>
      </c>
      <c r="B25" s="9">
        <v>6.1999999999999993E-2</v>
      </c>
      <c r="C25" s="254">
        <v>4.4699999999999997E-2</v>
      </c>
      <c r="D25" s="8">
        <v>6.0999999999999999E-2</v>
      </c>
      <c r="E25" s="254">
        <v>0.1016</v>
      </c>
      <c r="G25" s="100">
        <f t="shared" si="1"/>
        <v>1.8000000000000009E-2</v>
      </c>
      <c r="H25" s="9">
        <v>4.1999999999999989E-2</v>
      </c>
      <c r="I25" s="254">
        <v>4.7100000000000003E-2</v>
      </c>
      <c r="J25" s="8">
        <v>6.3E-2</v>
      </c>
      <c r="K25" s="254">
        <v>0.1024</v>
      </c>
      <c r="M25" s="100">
        <f t="shared" si="2"/>
        <v>1.8000000000000009E-2</v>
      </c>
      <c r="N25" s="255">
        <v>0.15</v>
      </c>
      <c r="O25" s="256">
        <v>1.5800000000000002E-2</v>
      </c>
      <c r="P25" s="256">
        <v>0.03</v>
      </c>
      <c r="Q25" s="256">
        <v>6.0600000000000001E-2</v>
      </c>
      <c r="S25" s="100">
        <f t="shared" si="3"/>
        <v>1.8000000000000009E-2</v>
      </c>
      <c r="T25" s="255">
        <v>0.15</v>
      </c>
      <c r="U25" s="256">
        <v>2.5000000000000001E-2</v>
      </c>
      <c r="V25" s="256">
        <v>4.7500000000000001E-2</v>
      </c>
      <c r="W25" s="256">
        <v>9.5899999999999999E-2</v>
      </c>
      <c r="Y25" s="100">
        <f t="shared" si="4"/>
        <v>1.8000000000000009E-2</v>
      </c>
      <c r="Z25" s="255">
        <v>0.15399999999999997</v>
      </c>
      <c r="AA25" s="257">
        <v>1.6299999999999999E-2</v>
      </c>
      <c r="AB25" s="257">
        <v>3.1E-2</v>
      </c>
      <c r="AC25" s="257">
        <v>6.2700000000000006E-2</v>
      </c>
      <c r="AD25" s="5"/>
      <c r="AE25" s="5"/>
      <c r="AF25" s="5"/>
    </row>
    <row r="26" spans="1:32" x14ac:dyDescent="0.25">
      <c r="A26" s="100">
        <f t="shared" si="0"/>
        <v>1.900000000000001E-2</v>
      </c>
      <c r="B26" s="9">
        <v>6.0999999999999992E-2</v>
      </c>
      <c r="C26" s="254">
        <v>4.5699999999999998E-2</v>
      </c>
      <c r="D26" s="8">
        <v>6.2799999999999995E-2</v>
      </c>
      <c r="E26" s="254">
        <v>0.1057</v>
      </c>
      <c r="G26" s="100">
        <f t="shared" si="1"/>
        <v>1.900000000000001E-2</v>
      </c>
      <c r="H26" s="9">
        <v>4.0999999999999988E-2</v>
      </c>
      <c r="I26" s="254">
        <v>4.8000000000000001E-2</v>
      </c>
      <c r="J26" s="8">
        <v>6.4799999999999996E-2</v>
      </c>
      <c r="K26" s="254">
        <v>0.10630000000000001</v>
      </c>
      <c r="M26" s="100">
        <f t="shared" si="2"/>
        <v>1.900000000000001E-2</v>
      </c>
      <c r="N26" s="255">
        <v>0.14899999999999999</v>
      </c>
      <c r="O26" s="256">
        <v>1.6799999999999999E-2</v>
      </c>
      <c r="P26" s="256">
        <v>3.1800000000000002E-2</v>
      </c>
      <c r="Q26" s="256">
        <v>6.4299999999999996E-2</v>
      </c>
      <c r="S26" s="100">
        <f t="shared" si="3"/>
        <v>1.900000000000001E-2</v>
      </c>
      <c r="T26" s="255">
        <v>0.14899999999999999</v>
      </c>
      <c r="U26" s="256">
        <v>2.5999999999999999E-2</v>
      </c>
      <c r="V26" s="256">
        <v>4.9399999999999999E-2</v>
      </c>
      <c r="W26" s="256">
        <v>9.9599999999999994E-2</v>
      </c>
      <c r="Y26" s="100">
        <f t="shared" si="4"/>
        <v>1.900000000000001E-2</v>
      </c>
      <c r="Z26" s="255">
        <v>0.15299999999999997</v>
      </c>
      <c r="AA26" s="257">
        <v>1.7299999999999999E-2</v>
      </c>
      <c r="AB26" s="257">
        <v>3.2899999999999999E-2</v>
      </c>
      <c r="AC26" s="257">
        <v>6.6400000000000001E-2</v>
      </c>
      <c r="AD26" s="5"/>
      <c r="AE26" s="5"/>
      <c r="AF26" s="5"/>
    </row>
    <row r="27" spans="1:32" x14ac:dyDescent="0.25">
      <c r="A27" s="100">
        <f t="shared" si="0"/>
        <v>2.0000000000000011E-2</v>
      </c>
      <c r="B27" s="9">
        <v>5.9999999999999991E-2</v>
      </c>
      <c r="C27" s="254">
        <v>4.6699999999999998E-2</v>
      </c>
      <c r="D27" s="8">
        <v>6.4699999999999994E-2</v>
      </c>
      <c r="E27" s="254">
        <v>0.10970000000000001</v>
      </c>
      <c r="G27" s="100">
        <f t="shared" si="1"/>
        <v>2.0000000000000011E-2</v>
      </c>
      <c r="H27" s="9">
        <v>3.9999999999999987E-2</v>
      </c>
      <c r="I27" s="254">
        <v>4.9000000000000002E-2</v>
      </c>
      <c r="J27" s="8">
        <v>6.6699999999999995E-2</v>
      </c>
      <c r="K27" s="254">
        <v>0.1103</v>
      </c>
      <c r="M27" s="100">
        <f t="shared" si="2"/>
        <v>2.0000000000000011E-2</v>
      </c>
      <c r="N27" s="255">
        <v>0.14799999999999999</v>
      </c>
      <c r="O27" s="256">
        <v>1.77E-2</v>
      </c>
      <c r="P27" s="256">
        <v>3.3700000000000001E-2</v>
      </c>
      <c r="Q27" s="256">
        <v>6.8000000000000005E-2</v>
      </c>
      <c r="S27" s="100">
        <f t="shared" si="3"/>
        <v>2.0000000000000011E-2</v>
      </c>
      <c r="T27" s="255">
        <v>0.14799999999999999</v>
      </c>
      <c r="U27" s="256">
        <v>2.7E-2</v>
      </c>
      <c r="V27" s="256">
        <v>5.1299999999999998E-2</v>
      </c>
      <c r="W27" s="256">
        <v>0.1033</v>
      </c>
      <c r="Y27" s="100">
        <f t="shared" si="4"/>
        <v>2.0000000000000011E-2</v>
      </c>
      <c r="Z27" s="255">
        <v>0.15199999999999997</v>
      </c>
      <c r="AA27" s="257">
        <v>1.83E-2</v>
      </c>
      <c r="AB27" s="257">
        <v>3.4700000000000002E-2</v>
      </c>
      <c r="AC27" s="257">
        <v>7.0199999999999999E-2</v>
      </c>
      <c r="AD27" s="5"/>
      <c r="AE27" s="5"/>
      <c r="AF27" s="5"/>
    </row>
    <row r="28" spans="1:32" x14ac:dyDescent="0.25">
      <c r="A28" s="100">
        <f t="shared" si="0"/>
        <v>2.1000000000000012E-2</v>
      </c>
      <c r="B28" s="9">
        <v>5.899999999999999E-2</v>
      </c>
      <c r="C28" s="254">
        <v>4.7600000000000003E-2</v>
      </c>
      <c r="D28" s="8">
        <v>6.6500000000000004E-2</v>
      </c>
      <c r="E28" s="254">
        <v>0.1137</v>
      </c>
      <c r="G28" s="100">
        <f t="shared" si="1"/>
        <v>2.1000000000000012E-2</v>
      </c>
      <c r="H28" s="9">
        <v>3.8999999999999986E-2</v>
      </c>
      <c r="I28" s="254">
        <v>4.99E-2</v>
      </c>
      <c r="J28" s="8">
        <v>6.8500000000000005E-2</v>
      </c>
      <c r="K28" s="254">
        <v>0.1142</v>
      </c>
      <c r="M28" s="100">
        <f t="shared" si="2"/>
        <v>2.1000000000000012E-2</v>
      </c>
      <c r="N28" s="255">
        <v>0.14699999999999999</v>
      </c>
      <c r="O28" s="256">
        <v>1.8700000000000001E-2</v>
      </c>
      <c r="P28" s="256">
        <v>3.5499999999999997E-2</v>
      </c>
      <c r="Q28" s="256">
        <v>7.17E-2</v>
      </c>
      <c r="S28" s="100">
        <f t="shared" si="3"/>
        <v>2.1000000000000012E-2</v>
      </c>
      <c r="T28" s="255">
        <v>0.14699999999999999</v>
      </c>
      <c r="U28" s="256">
        <v>2.8000000000000001E-2</v>
      </c>
      <c r="V28" s="256">
        <v>5.3100000000000001E-2</v>
      </c>
      <c r="W28" s="256">
        <v>0.107</v>
      </c>
      <c r="Y28" s="100">
        <f t="shared" si="4"/>
        <v>2.1000000000000012E-2</v>
      </c>
      <c r="Z28" s="255">
        <v>0.15099999999999997</v>
      </c>
      <c r="AA28" s="257">
        <v>1.9300000000000001E-2</v>
      </c>
      <c r="AB28" s="257">
        <v>3.6600000000000001E-2</v>
      </c>
      <c r="AC28" s="257">
        <v>7.3899999999999993E-2</v>
      </c>
      <c r="AD28" s="5"/>
      <c r="AE28" s="5"/>
      <c r="AF28" s="5"/>
    </row>
    <row r="29" spans="1:32" x14ac:dyDescent="0.25">
      <c r="A29" s="100">
        <f t="shared" si="0"/>
        <v>2.2000000000000013E-2</v>
      </c>
      <c r="B29" s="9">
        <v>5.7999999999999989E-2</v>
      </c>
      <c r="C29" s="254">
        <v>4.8599999999999997E-2</v>
      </c>
      <c r="D29" s="8">
        <v>6.8400000000000002E-2</v>
      </c>
      <c r="E29" s="254">
        <v>0.1178</v>
      </c>
      <c r="G29" s="100">
        <f t="shared" si="1"/>
        <v>2.2000000000000013E-2</v>
      </c>
      <c r="H29" s="9">
        <v>3.7999999999999985E-2</v>
      </c>
      <c r="I29" s="254">
        <v>5.0900000000000001E-2</v>
      </c>
      <c r="J29" s="8">
        <v>7.0300000000000001E-2</v>
      </c>
      <c r="K29" s="254">
        <v>0.1182</v>
      </c>
      <c r="M29" s="100">
        <f t="shared" si="2"/>
        <v>2.2000000000000013E-2</v>
      </c>
      <c r="N29" s="255">
        <v>0.14599999999999999</v>
      </c>
      <c r="O29" s="256">
        <v>1.9699999999999999E-2</v>
      </c>
      <c r="P29" s="256">
        <v>3.7400000000000003E-2</v>
      </c>
      <c r="Q29" s="256">
        <v>7.5399999999999995E-2</v>
      </c>
      <c r="S29" s="100">
        <f t="shared" si="3"/>
        <v>2.2000000000000013E-2</v>
      </c>
      <c r="T29" s="255">
        <v>0.14599999999999999</v>
      </c>
      <c r="U29" s="256">
        <v>2.9000000000000001E-2</v>
      </c>
      <c r="V29" s="256">
        <v>5.5E-2</v>
      </c>
      <c r="W29" s="256">
        <v>0.11070000000000001</v>
      </c>
      <c r="Y29" s="100">
        <f t="shared" si="4"/>
        <v>2.2000000000000013E-2</v>
      </c>
      <c r="Z29" s="255">
        <v>0.14999999999999997</v>
      </c>
      <c r="AA29" s="257">
        <v>2.0199999999999999E-2</v>
      </c>
      <c r="AB29" s="257">
        <v>3.85E-2</v>
      </c>
      <c r="AC29" s="257">
        <v>7.7600000000000002E-2</v>
      </c>
      <c r="AD29" s="5"/>
      <c r="AE29" s="5"/>
      <c r="AF29" s="5"/>
    </row>
    <row r="30" spans="1:32" x14ac:dyDescent="0.25">
      <c r="A30" s="100">
        <f t="shared" si="0"/>
        <v>2.3000000000000013E-2</v>
      </c>
      <c r="B30" s="9">
        <v>5.6999999999999988E-2</v>
      </c>
      <c r="C30" s="254">
        <v>4.9500000000000002E-2</v>
      </c>
      <c r="D30" s="8">
        <v>7.0199999999999999E-2</v>
      </c>
      <c r="E30" s="254">
        <v>0.12180000000000001</v>
      </c>
      <c r="G30" s="100">
        <f t="shared" si="1"/>
        <v>2.3000000000000013E-2</v>
      </c>
      <c r="H30" s="9">
        <v>3.6999999999999984E-2</v>
      </c>
      <c r="I30" s="254">
        <v>5.1799999999999999E-2</v>
      </c>
      <c r="J30" s="8">
        <v>7.22E-2</v>
      </c>
      <c r="K30" s="254">
        <v>0.1221</v>
      </c>
      <c r="M30" s="100">
        <f t="shared" si="2"/>
        <v>2.3000000000000013E-2</v>
      </c>
      <c r="N30" s="255">
        <v>0.14499999999999999</v>
      </c>
      <c r="O30" s="256">
        <v>2.07E-2</v>
      </c>
      <c r="P30" s="256">
        <v>3.9199999999999999E-2</v>
      </c>
      <c r="Q30" s="256">
        <v>7.9100000000000004E-2</v>
      </c>
      <c r="S30" s="100">
        <f t="shared" si="3"/>
        <v>2.3000000000000013E-2</v>
      </c>
      <c r="T30" s="255">
        <v>0.14499999999999999</v>
      </c>
      <c r="U30" s="256">
        <v>0.03</v>
      </c>
      <c r="V30" s="256">
        <v>5.6899999999999999E-2</v>
      </c>
      <c r="W30" s="256">
        <v>0.1144</v>
      </c>
      <c r="Y30" s="100">
        <f t="shared" si="4"/>
        <v>2.3000000000000013E-2</v>
      </c>
      <c r="Z30" s="255">
        <v>0.14899999999999997</v>
      </c>
      <c r="AA30" s="257">
        <v>2.12E-2</v>
      </c>
      <c r="AB30" s="257">
        <v>4.0300000000000002E-2</v>
      </c>
      <c r="AC30" s="257">
        <v>8.14E-2</v>
      </c>
      <c r="AD30" s="5"/>
      <c r="AE30" s="5"/>
      <c r="AF30" s="5"/>
    </row>
    <row r="31" spans="1:32" x14ac:dyDescent="0.25">
      <c r="A31" s="100">
        <f t="shared" si="0"/>
        <v>2.4000000000000014E-2</v>
      </c>
      <c r="B31" s="9">
        <v>5.5999999999999987E-2</v>
      </c>
      <c r="C31" s="254">
        <v>5.0500000000000003E-2</v>
      </c>
      <c r="D31" s="8">
        <v>7.2099999999999997E-2</v>
      </c>
      <c r="E31" s="254">
        <v>0.1258</v>
      </c>
      <c r="G31" s="100">
        <f t="shared" si="1"/>
        <v>2.4000000000000014E-2</v>
      </c>
      <c r="H31" s="9">
        <v>3.5999999999999983E-2</v>
      </c>
      <c r="I31" s="254">
        <v>5.28E-2</v>
      </c>
      <c r="J31" s="8">
        <v>7.3999999999999996E-2</v>
      </c>
      <c r="K31" s="254">
        <v>0.126</v>
      </c>
      <c r="M31" s="100">
        <f t="shared" si="2"/>
        <v>2.4000000000000014E-2</v>
      </c>
      <c r="N31" s="255">
        <v>0.14399999999999999</v>
      </c>
      <c r="O31" s="256">
        <v>2.1600000000000001E-2</v>
      </c>
      <c r="P31" s="256">
        <v>4.1099999999999998E-2</v>
      </c>
      <c r="Q31" s="256">
        <v>8.2799999999999999E-2</v>
      </c>
      <c r="S31" s="100">
        <f t="shared" si="3"/>
        <v>2.4000000000000014E-2</v>
      </c>
      <c r="T31" s="255">
        <v>0.14399999999999999</v>
      </c>
      <c r="U31" s="256">
        <v>3.1E-2</v>
      </c>
      <c r="V31" s="256">
        <v>5.8700000000000002E-2</v>
      </c>
      <c r="W31" s="256">
        <v>0.1181</v>
      </c>
      <c r="Y31" s="100">
        <f t="shared" si="4"/>
        <v>2.4000000000000014E-2</v>
      </c>
      <c r="Z31" s="255">
        <v>0.14799999999999996</v>
      </c>
      <c r="AA31" s="257">
        <v>2.2200000000000001E-2</v>
      </c>
      <c r="AB31" s="257">
        <v>4.2200000000000001E-2</v>
      </c>
      <c r="AC31" s="257">
        <v>8.5099999999999995E-2</v>
      </c>
      <c r="AD31" s="5"/>
      <c r="AE31" s="5"/>
      <c r="AF31" s="5"/>
    </row>
    <row r="32" spans="1:32" x14ac:dyDescent="0.25">
      <c r="A32" s="100">
        <f t="shared" si="0"/>
        <v>2.5000000000000015E-2</v>
      </c>
      <c r="B32" s="9">
        <v>5.4999999999999986E-2</v>
      </c>
      <c r="C32" s="254">
        <v>5.1499999999999997E-2</v>
      </c>
      <c r="D32" s="8">
        <v>7.3899999999999993E-2</v>
      </c>
      <c r="E32" s="254">
        <v>0.1298</v>
      </c>
      <c r="G32" s="100">
        <f t="shared" si="1"/>
        <v>2.5000000000000015E-2</v>
      </c>
      <c r="H32" s="9">
        <v>3.4999999999999983E-2</v>
      </c>
      <c r="I32" s="254">
        <v>5.3699999999999998E-2</v>
      </c>
      <c r="J32" s="8">
        <v>7.5800000000000006E-2</v>
      </c>
      <c r="K32" s="254">
        <v>0.12989999999999999</v>
      </c>
      <c r="M32" s="100">
        <f t="shared" si="2"/>
        <v>2.5000000000000015E-2</v>
      </c>
      <c r="N32" s="255">
        <v>0.14299999999999999</v>
      </c>
      <c r="O32" s="256">
        <v>2.2599999999999999E-2</v>
      </c>
      <c r="P32" s="256">
        <v>4.2900000000000001E-2</v>
      </c>
      <c r="Q32" s="256">
        <v>8.6499999999999994E-2</v>
      </c>
      <c r="S32" s="100">
        <f t="shared" si="3"/>
        <v>2.5000000000000015E-2</v>
      </c>
      <c r="T32" s="255">
        <v>0.14299999999999999</v>
      </c>
      <c r="U32" s="256">
        <v>3.1899999999999998E-2</v>
      </c>
      <c r="V32" s="256">
        <v>6.0600000000000001E-2</v>
      </c>
      <c r="W32" s="256">
        <v>0.12180000000000001</v>
      </c>
      <c r="Y32" s="100">
        <f t="shared" si="4"/>
        <v>2.5000000000000015E-2</v>
      </c>
      <c r="Z32" s="255">
        <v>0.14699999999999996</v>
      </c>
      <c r="AA32" s="257">
        <v>2.3199999999999998E-2</v>
      </c>
      <c r="AB32" s="257">
        <v>4.3999999999999997E-2</v>
      </c>
      <c r="AC32" s="257">
        <v>8.8800000000000004E-2</v>
      </c>
      <c r="AD32" s="5"/>
      <c r="AE32" s="5"/>
      <c r="AF32" s="5"/>
    </row>
    <row r="33" spans="1:32" x14ac:dyDescent="0.25">
      <c r="A33" s="100">
        <f t="shared" si="0"/>
        <v>2.6000000000000016E-2</v>
      </c>
      <c r="B33" s="9">
        <v>5.3999999999999986E-2</v>
      </c>
      <c r="C33" s="254">
        <v>5.2400000000000002E-2</v>
      </c>
      <c r="D33" s="8">
        <v>7.5700000000000003E-2</v>
      </c>
      <c r="E33" s="254">
        <v>0.1338</v>
      </c>
      <c r="G33" s="100">
        <f t="shared" si="1"/>
        <v>2.6000000000000016E-2</v>
      </c>
      <c r="H33" s="9">
        <v>3.3999999999999982E-2</v>
      </c>
      <c r="I33" s="254">
        <v>5.4699999999999999E-2</v>
      </c>
      <c r="J33" s="8">
        <v>7.7600000000000002E-2</v>
      </c>
      <c r="K33" s="254">
        <v>0.1338</v>
      </c>
      <c r="M33" s="100">
        <f t="shared" si="2"/>
        <v>2.6000000000000016E-2</v>
      </c>
      <c r="N33" s="255">
        <v>0.14199999999999999</v>
      </c>
      <c r="O33" s="256">
        <v>2.3599999999999999E-2</v>
      </c>
      <c r="P33" s="256">
        <v>4.48E-2</v>
      </c>
      <c r="Q33" s="256">
        <v>9.01E-2</v>
      </c>
      <c r="S33" s="100">
        <f t="shared" si="3"/>
        <v>2.6000000000000016E-2</v>
      </c>
      <c r="T33" s="255">
        <v>0.14199999999999999</v>
      </c>
      <c r="U33" s="256">
        <v>3.2899999999999999E-2</v>
      </c>
      <c r="V33" s="256">
        <v>6.25E-2</v>
      </c>
      <c r="W33" s="256">
        <v>0.1255</v>
      </c>
      <c r="Y33" s="100">
        <f t="shared" si="4"/>
        <v>2.6000000000000016E-2</v>
      </c>
      <c r="Z33" s="255">
        <v>0.14599999999999996</v>
      </c>
      <c r="AA33" s="257">
        <v>2.4199999999999999E-2</v>
      </c>
      <c r="AB33" s="257">
        <v>4.5900000000000003E-2</v>
      </c>
      <c r="AC33" s="257">
        <v>9.2499999999999999E-2</v>
      </c>
      <c r="AD33" s="5"/>
      <c r="AE33" s="5"/>
      <c r="AF33" s="5"/>
    </row>
    <row r="34" spans="1:32" x14ac:dyDescent="0.25">
      <c r="A34" s="100">
        <f t="shared" si="0"/>
        <v>2.7000000000000017E-2</v>
      </c>
      <c r="B34" s="9">
        <v>5.2999999999999985E-2</v>
      </c>
      <c r="C34" s="254">
        <v>5.3400000000000003E-2</v>
      </c>
      <c r="D34" s="8">
        <v>7.7600000000000002E-2</v>
      </c>
      <c r="E34" s="254">
        <v>0.13780000000000001</v>
      </c>
      <c r="G34" s="100">
        <f t="shared" si="1"/>
        <v>2.7000000000000017E-2</v>
      </c>
      <c r="H34" s="9">
        <v>3.2999999999999981E-2</v>
      </c>
      <c r="I34" s="254">
        <v>5.5599999999999997E-2</v>
      </c>
      <c r="J34" s="8">
        <v>7.9500000000000001E-2</v>
      </c>
      <c r="K34" s="254">
        <v>0.13769999999999999</v>
      </c>
      <c r="M34" s="100">
        <f t="shared" si="2"/>
        <v>2.7000000000000017E-2</v>
      </c>
      <c r="N34" s="255">
        <v>0.14099999999999999</v>
      </c>
      <c r="O34" s="256">
        <v>2.46E-2</v>
      </c>
      <c r="P34" s="256">
        <v>4.6600000000000003E-2</v>
      </c>
      <c r="Q34" s="256">
        <v>9.3799999999999994E-2</v>
      </c>
      <c r="S34" s="100">
        <f t="shared" si="3"/>
        <v>2.7000000000000017E-2</v>
      </c>
      <c r="T34" s="255">
        <v>0.14099999999999999</v>
      </c>
      <c r="U34" s="256">
        <v>3.39E-2</v>
      </c>
      <c r="V34" s="256">
        <v>6.4299999999999996E-2</v>
      </c>
      <c r="W34" s="256">
        <v>0.12920000000000001</v>
      </c>
      <c r="Y34" s="100">
        <f t="shared" si="4"/>
        <v>2.7000000000000017E-2</v>
      </c>
      <c r="Z34" s="255">
        <v>0.14499999999999996</v>
      </c>
      <c r="AA34" s="257">
        <v>2.52E-2</v>
      </c>
      <c r="AB34" s="257">
        <v>4.7800000000000002E-2</v>
      </c>
      <c r="AC34" s="257">
        <v>9.6199999999999994E-2</v>
      </c>
      <c r="AD34" s="5"/>
      <c r="AE34" s="5"/>
      <c r="AF34" s="5"/>
    </row>
    <row r="35" spans="1:32" x14ac:dyDescent="0.25">
      <c r="A35" s="100">
        <f t="shared" si="0"/>
        <v>2.8000000000000018E-2</v>
      </c>
      <c r="B35" s="9">
        <v>5.1999999999999984E-2</v>
      </c>
      <c r="C35" s="254">
        <v>5.4300000000000001E-2</v>
      </c>
      <c r="D35" s="8">
        <v>7.9399999999999998E-2</v>
      </c>
      <c r="E35" s="254">
        <v>0.14169999999999999</v>
      </c>
      <c r="G35" s="100">
        <f t="shared" si="1"/>
        <v>2.8000000000000018E-2</v>
      </c>
      <c r="H35" s="9">
        <v>3.199999999999998E-2</v>
      </c>
      <c r="I35" s="254">
        <v>5.6599999999999998E-2</v>
      </c>
      <c r="J35" s="8">
        <v>8.1299999999999997E-2</v>
      </c>
      <c r="K35" s="254">
        <v>0.1416</v>
      </c>
      <c r="M35" s="100">
        <f t="shared" si="2"/>
        <v>2.8000000000000018E-2</v>
      </c>
      <c r="N35" s="255">
        <v>0.13999999999999999</v>
      </c>
      <c r="O35" s="256">
        <v>2.5499999999999998E-2</v>
      </c>
      <c r="P35" s="256">
        <v>4.8500000000000001E-2</v>
      </c>
      <c r="Q35" s="256">
        <v>9.7500000000000003E-2</v>
      </c>
      <c r="S35" s="100">
        <f t="shared" si="3"/>
        <v>2.8000000000000018E-2</v>
      </c>
      <c r="T35" s="255">
        <v>0.13999999999999999</v>
      </c>
      <c r="U35" s="256">
        <v>3.49E-2</v>
      </c>
      <c r="V35" s="256">
        <v>6.6199999999999995E-2</v>
      </c>
      <c r="W35" s="256">
        <v>0.13289999999999999</v>
      </c>
      <c r="Y35" s="100">
        <f t="shared" si="4"/>
        <v>2.8000000000000018E-2</v>
      </c>
      <c r="Z35" s="255">
        <v>0.14399999999999996</v>
      </c>
      <c r="AA35" s="257">
        <v>2.6100000000000002E-2</v>
      </c>
      <c r="AB35" s="257">
        <v>4.9599999999999998E-2</v>
      </c>
      <c r="AC35" s="257">
        <v>9.9900000000000003E-2</v>
      </c>
      <c r="AD35" s="5"/>
      <c r="AE35" s="5"/>
      <c r="AF35" s="5"/>
    </row>
    <row r="36" spans="1:32" x14ac:dyDescent="0.25">
      <c r="A36" s="100">
        <f t="shared" si="0"/>
        <v>2.9000000000000019E-2</v>
      </c>
      <c r="B36" s="9">
        <v>5.0999999999999983E-2</v>
      </c>
      <c r="C36" s="254">
        <v>5.5300000000000002E-2</v>
      </c>
      <c r="D36" s="8">
        <v>8.1299999999999997E-2</v>
      </c>
      <c r="E36" s="254">
        <v>0.1457</v>
      </c>
      <c r="G36" s="100">
        <f t="shared" si="1"/>
        <v>2.9000000000000019E-2</v>
      </c>
      <c r="H36" s="9">
        <v>3.0999999999999979E-2</v>
      </c>
      <c r="I36" s="254">
        <v>5.7599999999999998E-2</v>
      </c>
      <c r="J36" s="8">
        <v>8.3099999999999993E-2</v>
      </c>
      <c r="K36" s="254">
        <v>0.14549999999999999</v>
      </c>
      <c r="M36" s="100">
        <f t="shared" si="2"/>
        <v>2.9000000000000019E-2</v>
      </c>
      <c r="N36" s="255">
        <v>0.13899999999999998</v>
      </c>
      <c r="O36" s="256">
        <v>2.6499999999999999E-2</v>
      </c>
      <c r="P36" s="256">
        <v>5.0299999999999997E-2</v>
      </c>
      <c r="Q36" s="256">
        <v>0.1011</v>
      </c>
      <c r="S36" s="100">
        <f t="shared" si="3"/>
        <v>2.9000000000000019E-2</v>
      </c>
      <c r="T36" s="255">
        <v>0.13899999999999998</v>
      </c>
      <c r="U36" s="256">
        <v>3.5900000000000001E-2</v>
      </c>
      <c r="V36" s="256">
        <v>6.8099999999999994E-2</v>
      </c>
      <c r="W36" s="256">
        <v>0.13650000000000001</v>
      </c>
      <c r="Y36" s="100">
        <f t="shared" si="4"/>
        <v>2.9000000000000019E-2</v>
      </c>
      <c r="Z36" s="255">
        <v>0.14299999999999996</v>
      </c>
      <c r="AA36" s="257">
        <v>2.7099999999999999E-2</v>
      </c>
      <c r="AB36" s="257">
        <v>5.1499999999999997E-2</v>
      </c>
      <c r="AC36" s="257">
        <v>0.10349999999999999</v>
      </c>
      <c r="AD36" s="5"/>
      <c r="AE36" s="5"/>
      <c r="AF36" s="5"/>
    </row>
    <row r="37" spans="1:32" x14ac:dyDescent="0.25">
      <c r="A37" s="100">
        <f t="shared" si="0"/>
        <v>3.000000000000002E-2</v>
      </c>
      <c r="B37" s="9">
        <v>4.9999999999999982E-2</v>
      </c>
      <c r="C37" s="254">
        <v>5.6300000000000003E-2</v>
      </c>
      <c r="D37" s="8">
        <v>8.3099999999999993E-2</v>
      </c>
      <c r="E37" s="254">
        <v>0.1497</v>
      </c>
      <c r="G37" s="100">
        <f t="shared" si="1"/>
        <v>3.000000000000002E-2</v>
      </c>
      <c r="H37" s="9">
        <v>2.9999999999999978E-2</v>
      </c>
      <c r="I37" s="254">
        <v>5.8500000000000003E-2</v>
      </c>
      <c r="J37" s="8">
        <v>8.4900000000000003E-2</v>
      </c>
      <c r="K37" s="254">
        <v>0.14929999999999999</v>
      </c>
      <c r="M37" s="100">
        <f t="shared" si="2"/>
        <v>3.000000000000002E-2</v>
      </c>
      <c r="N37" s="255">
        <v>0.13799999999999998</v>
      </c>
      <c r="O37" s="256">
        <v>2.75E-2</v>
      </c>
      <c r="P37" s="256">
        <v>5.2200000000000003E-2</v>
      </c>
      <c r="Q37" s="256">
        <v>0.1048</v>
      </c>
      <c r="S37" s="100">
        <f t="shared" si="3"/>
        <v>3.000000000000002E-2</v>
      </c>
      <c r="T37" s="255">
        <v>0.13799999999999998</v>
      </c>
      <c r="U37" s="256">
        <v>3.6900000000000002E-2</v>
      </c>
      <c r="V37" s="256">
        <v>6.9900000000000004E-2</v>
      </c>
      <c r="W37" s="256">
        <v>0.14019999999999999</v>
      </c>
      <c r="Y37" s="100">
        <f t="shared" si="4"/>
        <v>3.000000000000002E-2</v>
      </c>
      <c r="Z37" s="255">
        <v>0.14199999999999996</v>
      </c>
      <c r="AA37" s="257">
        <v>2.81E-2</v>
      </c>
      <c r="AB37" s="257">
        <v>5.33E-2</v>
      </c>
      <c r="AC37" s="257">
        <v>0.1072</v>
      </c>
      <c r="AD37" s="5"/>
      <c r="AE37" s="5"/>
      <c r="AF37" s="5"/>
    </row>
    <row r="38" spans="1:32" x14ac:dyDescent="0.25">
      <c r="A38" s="100">
        <f t="shared" si="0"/>
        <v>3.1000000000000021E-2</v>
      </c>
      <c r="B38" s="9">
        <v>4.8999999999999981E-2</v>
      </c>
      <c r="C38" s="254">
        <v>5.7200000000000001E-2</v>
      </c>
      <c r="D38" s="8">
        <v>8.4900000000000003E-2</v>
      </c>
      <c r="E38" s="254">
        <v>0.15359999999999999</v>
      </c>
      <c r="G38" s="100">
        <f t="shared" si="1"/>
        <v>3.1000000000000021E-2</v>
      </c>
      <c r="H38" s="9">
        <v>2.8999999999999977E-2</v>
      </c>
      <c r="I38" s="254">
        <v>5.9499999999999997E-2</v>
      </c>
      <c r="J38" s="8">
        <v>8.6699999999999999E-2</v>
      </c>
      <c r="K38" s="254">
        <v>0.1532</v>
      </c>
      <c r="M38" s="100">
        <f t="shared" si="2"/>
        <v>3.1000000000000021E-2</v>
      </c>
      <c r="N38" s="255">
        <v>0.13699999999999998</v>
      </c>
      <c r="O38" s="256">
        <v>2.8500000000000001E-2</v>
      </c>
      <c r="P38" s="256">
        <v>5.3999999999999999E-2</v>
      </c>
      <c r="Q38" s="256">
        <v>0.1084</v>
      </c>
      <c r="S38" s="100">
        <f t="shared" si="3"/>
        <v>3.1000000000000021E-2</v>
      </c>
      <c r="T38" s="255">
        <v>0.13699999999999998</v>
      </c>
      <c r="U38" s="256">
        <v>3.7900000000000003E-2</v>
      </c>
      <c r="V38" s="256">
        <v>7.1800000000000003E-2</v>
      </c>
      <c r="W38" s="256">
        <v>0.14380000000000001</v>
      </c>
      <c r="Y38" s="100">
        <f t="shared" si="4"/>
        <v>3.1000000000000021E-2</v>
      </c>
      <c r="Z38" s="255">
        <v>0.14099999999999996</v>
      </c>
      <c r="AA38" s="257">
        <v>2.9100000000000001E-2</v>
      </c>
      <c r="AB38" s="257">
        <v>5.5199999999999999E-2</v>
      </c>
      <c r="AC38" s="257">
        <v>0.1109</v>
      </c>
      <c r="AD38" s="5"/>
      <c r="AE38" s="5"/>
      <c r="AF38" s="5"/>
    </row>
    <row r="39" spans="1:32" x14ac:dyDescent="0.25">
      <c r="A39" s="100">
        <f t="shared" si="0"/>
        <v>3.2000000000000021E-2</v>
      </c>
      <c r="B39" s="9">
        <v>4.799999999999998E-2</v>
      </c>
      <c r="C39" s="254">
        <v>5.8200000000000002E-2</v>
      </c>
      <c r="D39" s="8">
        <v>8.6800000000000002E-2</v>
      </c>
      <c r="E39" s="254">
        <v>0.15759999999999999</v>
      </c>
      <c r="G39" s="100">
        <f t="shared" si="1"/>
        <v>3.2000000000000021E-2</v>
      </c>
      <c r="H39" s="9">
        <v>2.7999999999999976E-2</v>
      </c>
      <c r="I39" s="254">
        <v>6.0400000000000002E-2</v>
      </c>
      <c r="J39" s="8">
        <v>8.8499999999999995E-2</v>
      </c>
      <c r="K39" s="254">
        <v>0.157</v>
      </c>
      <c r="M39" s="100">
        <f t="shared" si="2"/>
        <v>3.2000000000000021E-2</v>
      </c>
      <c r="N39" s="255">
        <v>0.13599999999999998</v>
      </c>
      <c r="O39" s="256">
        <v>2.9399999999999999E-2</v>
      </c>
      <c r="P39" s="256">
        <v>5.5800000000000002E-2</v>
      </c>
      <c r="Q39" s="256">
        <v>0.11210000000000001</v>
      </c>
      <c r="S39" s="100">
        <f t="shared" si="3"/>
        <v>3.2000000000000021E-2</v>
      </c>
      <c r="T39" s="255">
        <v>0.13599999999999998</v>
      </c>
      <c r="U39" s="256">
        <v>3.8899999999999997E-2</v>
      </c>
      <c r="V39" s="256">
        <v>7.3599999999999999E-2</v>
      </c>
      <c r="W39" s="256">
        <v>0.14749999999999999</v>
      </c>
      <c r="Y39" s="100">
        <f t="shared" si="4"/>
        <v>3.2000000000000021E-2</v>
      </c>
      <c r="Z39" s="255">
        <v>0.13999999999999996</v>
      </c>
      <c r="AA39" s="257">
        <v>3.0099999999999998E-2</v>
      </c>
      <c r="AB39" s="257">
        <v>5.7000000000000002E-2</v>
      </c>
      <c r="AC39" s="257">
        <v>0.11459999999999999</v>
      </c>
      <c r="AD39" s="5"/>
      <c r="AE39" s="5"/>
      <c r="AF39" s="5"/>
    </row>
    <row r="40" spans="1:32" x14ac:dyDescent="0.25">
      <c r="A40" s="100">
        <f t="shared" si="0"/>
        <v>3.3000000000000022E-2</v>
      </c>
      <c r="B40" s="9">
        <v>4.6999999999999979E-2</v>
      </c>
      <c r="C40" s="254">
        <v>5.91E-2</v>
      </c>
      <c r="D40" s="8">
        <v>8.8599999999999998E-2</v>
      </c>
      <c r="E40" s="254">
        <v>0.1615</v>
      </c>
      <c r="G40" s="100">
        <f t="shared" si="1"/>
        <v>3.3000000000000022E-2</v>
      </c>
      <c r="H40" s="9">
        <v>2.6999999999999975E-2</v>
      </c>
      <c r="I40" s="254">
        <v>6.1400000000000003E-2</v>
      </c>
      <c r="J40" s="8">
        <v>9.0300000000000005E-2</v>
      </c>
      <c r="K40" s="254">
        <v>0.16089999999999999</v>
      </c>
      <c r="M40" s="100">
        <f t="shared" si="2"/>
        <v>3.3000000000000022E-2</v>
      </c>
      <c r="N40" s="255">
        <v>0.13499999999999998</v>
      </c>
      <c r="O40" s="256">
        <v>3.04E-2</v>
      </c>
      <c r="P40" s="256">
        <v>5.7700000000000001E-2</v>
      </c>
      <c r="Q40" s="256">
        <v>0.1157</v>
      </c>
      <c r="S40" s="100">
        <f t="shared" si="3"/>
        <v>3.3000000000000022E-2</v>
      </c>
      <c r="T40" s="255">
        <v>0.13499999999999998</v>
      </c>
      <c r="U40" s="256">
        <v>3.9800000000000002E-2</v>
      </c>
      <c r="V40" s="256">
        <v>7.5499999999999998E-2</v>
      </c>
      <c r="W40" s="256">
        <v>0.15110000000000001</v>
      </c>
      <c r="Y40" s="100">
        <f t="shared" si="4"/>
        <v>3.3000000000000022E-2</v>
      </c>
      <c r="Z40" s="255">
        <v>0.13899999999999996</v>
      </c>
      <c r="AA40" s="257">
        <v>3.1E-2</v>
      </c>
      <c r="AB40" s="257">
        <v>5.8900000000000001E-2</v>
      </c>
      <c r="AC40" s="257">
        <v>0.1182</v>
      </c>
      <c r="AD40" s="5"/>
      <c r="AE40" s="5"/>
      <c r="AF40" s="5"/>
    </row>
    <row r="41" spans="1:32" x14ac:dyDescent="0.25">
      <c r="A41" s="100">
        <f t="shared" si="0"/>
        <v>3.4000000000000023E-2</v>
      </c>
      <c r="B41" s="9">
        <v>4.5999999999999978E-2</v>
      </c>
      <c r="C41" s="254">
        <v>6.0100000000000001E-2</v>
      </c>
      <c r="D41" s="8">
        <v>9.0399999999999994E-2</v>
      </c>
      <c r="E41" s="254">
        <v>0.16550000000000001</v>
      </c>
      <c r="G41" s="100">
        <f t="shared" si="1"/>
        <v>3.4000000000000023E-2</v>
      </c>
      <c r="H41" s="9">
        <v>2.5999999999999975E-2</v>
      </c>
      <c r="I41" s="254">
        <v>6.2300000000000001E-2</v>
      </c>
      <c r="J41" s="8">
        <v>9.2100000000000001E-2</v>
      </c>
      <c r="K41" s="254">
        <v>0.16470000000000001</v>
      </c>
      <c r="M41" s="100">
        <f t="shared" si="2"/>
        <v>3.4000000000000023E-2</v>
      </c>
      <c r="N41" s="255">
        <v>0.13399999999999998</v>
      </c>
      <c r="O41" s="256">
        <v>3.1399999999999997E-2</v>
      </c>
      <c r="P41" s="256">
        <v>5.9499999999999997E-2</v>
      </c>
      <c r="Q41" s="256">
        <v>0.1193</v>
      </c>
      <c r="S41" s="100">
        <f t="shared" si="3"/>
        <v>3.4000000000000023E-2</v>
      </c>
      <c r="T41" s="255">
        <v>0.13399999999999998</v>
      </c>
      <c r="U41" s="256">
        <v>4.0800000000000003E-2</v>
      </c>
      <c r="V41" s="256">
        <v>7.7299999999999994E-2</v>
      </c>
      <c r="W41" s="256">
        <v>0.15479999999999999</v>
      </c>
      <c r="Y41" s="100">
        <f t="shared" si="4"/>
        <v>3.4000000000000023E-2</v>
      </c>
      <c r="Z41" s="255">
        <v>0.13799999999999996</v>
      </c>
      <c r="AA41" s="257">
        <v>3.2000000000000001E-2</v>
      </c>
      <c r="AB41" s="257">
        <v>6.0699999999999997E-2</v>
      </c>
      <c r="AC41" s="257">
        <v>0.12189999999999999</v>
      </c>
      <c r="AD41" s="5"/>
      <c r="AE41" s="5"/>
      <c r="AF41" s="5"/>
    </row>
    <row r="42" spans="1:32" x14ac:dyDescent="0.25">
      <c r="A42" s="100">
        <f t="shared" si="0"/>
        <v>3.5000000000000024E-2</v>
      </c>
      <c r="B42" s="9">
        <v>4.4999999999999978E-2</v>
      </c>
      <c r="C42" s="254">
        <v>6.1100000000000002E-2</v>
      </c>
      <c r="D42" s="8">
        <v>9.2299999999999993E-2</v>
      </c>
      <c r="E42" s="254">
        <v>0.1694</v>
      </c>
      <c r="G42" s="100">
        <f t="shared" si="1"/>
        <v>3.5000000000000024E-2</v>
      </c>
      <c r="H42" s="9">
        <v>2.4999999999999974E-2</v>
      </c>
      <c r="I42" s="254">
        <v>6.3299999999999995E-2</v>
      </c>
      <c r="J42" s="8">
        <v>9.4E-2</v>
      </c>
      <c r="K42" s="254">
        <v>0.16850000000000001</v>
      </c>
      <c r="M42" s="100">
        <f t="shared" si="2"/>
        <v>3.5000000000000024E-2</v>
      </c>
      <c r="N42" s="255">
        <v>0.13299999999999998</v>
      </c>
      <c r="O42" s="256">
        <v>3.2399999999999998E-2</v>
      </c>
      <c r="P42" s="256">
        <v>6.13E-2</v>
      </c>
      <c r="Q42" s="256">
        <v>0.1229</v>
      </c>
      <c r="S42" s="100">
        <f t="shared" si="3"/>
        <v>3.5000000000000024E-2</v>
      </c>
      <c r="T42" s="255">
        <v>0.13299999999999998</v>
      </c>
      <c r="U42" s="256">
        <v>4.1799999999999997E-2</v>
      </c>
      <c r="V42" s="256">
        <v>7.9200000000000007E-2</v>
      </c>
      <c r="W42" s="256">
        <v>0.15840000000000001</v>
      </c>
      <c r="Y42" s="100">
        <f t="shared" si="4"/>
        <v>3.5000000000000024E-2</v>
      </c>
      <c r="Z42" s="255">
        <v>0.13699999999999996</v>
      </c>
      <c r="AA42" s="257">
        <v>3.3000000000000002E-2</v>
      </c>
      <c r="AB42" s="257">
        <v>6.2600000000000003E-2</v>
      </c>
      <c r="AC42" s="257">
        <v>0.1255</v>
      </c>
      <c r="AD42" s="5"/>
      <c r="AE42" s="5"/>
      <c r="AF42" s="5"/>
    </row>
    <row r="43" spans="1:32" x14ac:dyDescent="0.25">
      <c r="A43" s="100">
        <f t="shared" si="0"/>
        <v>3.6000000000000025E-2</v>
      </c>
      <c r="B43" s="9">
        <v>4.3999999999999977E-2</v>
      </c>
      <c r="C43" s="254">
        <v>6.2E-2</v>
      </c>
      <c r="D43" s="8">
        <v>9.4100000000000003E-2</v>
      </c>
      <c r="E43" s="254">
        <v>0.17330000000000001</v>
      </c>
      <c r="G43" s="100">
        <f t="shared" si="1"/>
        <v>3.6000000000000025E-2</v>
      </c>
      <c r="H43" s="9">
        <v>2.3999999999999973E-2</v>
      </c>
      <c r="I43" s="254">
        <v>6.4199999999999993E-2</v>
      </c>
      <c r="J43" s="8">
        <v>9.5799999999999996E-2</v>
      </c>
      <c r="K43" s="254">
        <v>0.17230000000000001</v>
      </c>
      <c r="M43" s="100">
        <f t="shared" si="2"/>
        <v>3.6000000000000025E-2</v>
      </c>
      <c r="N43" s="255">
        <v>0.13199999999999998</v>
      </c>
      <c r="O43" s="256">
        <v>3.3300000000000003E-2</v>
      </c>
      <c r="P43" s="256">
        <v>6.3200000000000006E-2</v>
      </c>
      <c r="Q43" s="256">
        <v>0.12659999999999999</v>
      </c>
      <c r="S43" s="100">
        <f t="shared" si="3"/>
        <v>3.6000000000000025E-2</v>
      </c>
      <c r="T43" s="255">
        <v>0.13199999999999998</v>
      </c>
      <c r="U43" s="256">
        <v>4.2799999999999998E-2</v>
      </c>
      <c r="V43" s="256">
        <v>8.1000000000000003E-2</v>
      </c>
      <c r="W43" s="256">
        <v>0.16200000000000001</v>
      </c>
      <c r="Y43" s="100">
        <f t="shared" si="4"/>
        <v>3.6000000000000025E-2</v>
      </c>
      <c r="Z43" s="255">
        <v>0.13599999999999995</v>
      </c>
      <c r="AA43" s="257">
        <v>3.4000000000000002E-2</v>
      </c>
      <c r="AB43" s="257">
        <v>6.4399999999999999E-2</v>
      </c>
      <c r="AC43" s="257">
        <v>0.12920000000000001</v>
      </c>
      <c r="AD43" s="5"/>
      <c r="AE43" s="5"/>
      <c r="AF43" s="5"/>
    </row>
    <row r="44" spans="1:32" x14ac:dyDescent="0.25">
      <c r="A44" s="100">
        <f t="shared" si="0"/>
        <v>3.7000000000000026E-2</v>
      </c>
      <c r="B44" s="9">
        <v>4.2999999999999976E-2</v>
      </c>
      <c r="C44" s="254">
        <v>6.3E-2</v>
      </c>
      <c r="D44" s="8">
        <v>9.5899999999999999E-2</v>
      </c>
      <c r="E44" s="254">
        <v>0.1772</v>
      </c>
      <c r="G44" s="10">
        <f t="shared" si="1"/>
        <v>3.7000000000000026E-2</v>
      </c>
      <c r="H44" s="9">
        <v>2.2999999999999972E-2</v>
      </c>
      <c r="I44" s="254">
        <v>6.5199999999999994E-2</v>
      </c>
      <c r="J44" s="8">
        <v>9.7600000000000006E-2</v>
      </c>
      <c r="K44" s="254">
        <v>0.1762</v>
      </c>
      <c r="M44" s="100">
        <f t="shared" si="2"/>
        <v>3.7000000000000026E-2</v>
      </c>
      <c r="N44" s="255">
        <v>0.13099999999999998</v>
      </c>
      <c r="O44" s="256">
        <v>3.4299999999999997E-2</v>
      </c>
      <c r="P44" s="256">
        <v>6.5000000000000002E-2</v>
      </c>
      <c r="Q44" s="256">
        <v>0.13020000000000001</v>
      </c>
      <c r="S44" s="100">
        <f t="shared" si="3"/>
        <v>3.7000000000000026E-2</v>
      </c>
      <c r="T44" s="255">
        <v>0.13099999999999998</v>
      </c>
      <c r="U44" s="256">
        <v>4.3799999999999999E-2</v>
      </c>
      <c r="V44" s="256">
        <v>8.2900000000000001E-2</v>
      </c>
      <c r="W44" s="256">
        <v>0.1656</v>
      </c>
      <c r="Y44" s="100">
        <f t="shared" si="4"/>
        <v>3.7000000000000026E-2</v>
      </c>
      <c r="Z44" s="255">
        <v>0.13499999999999995</v>
      </c>
      <c r="AA44" s="257">
        <v>3.5000000000000003E-2</v>
      </c>
      <c r="AB44" s="257">
        <v>6.6299999999999998E-2</v>
      </c>
      <c r="AC44" s="257">
        <v>0.1328</v>
      </c>
      <c r="AD44" s="5"/>
      <c r="AE44" s="5"/>
      <c r="AF44" s="5"/>
    </row>
    <row r="45" spans="1:32" x14ac:dyDescent="0.25">
      <c r="A45" s="10">
        <f>A44+0.1%</f>
        <v>3.8000000000000027E-2</v>
      </c>
      <c r="B45" s="9">
        <v>4.1999999999999975E-2</v>
      </c>
      <c r="C45" s="254">
        <v>6.3899999999999998E-2</v>
      </c>
      <c r="D45" s="8">
        <v>9.7699999999999995E-2</v>
      </c>
      <c r="E45" s="254">
        <v>0.18110000000000001</v>
      </c>
      <c r="G45" s="10">
        <f t="shared" si="1"/>
        <v>3.8000000000000027E-2</v>
      </c>
      <c r="H45" s="9">
        <v>2.1999999999999971E-2</v>
      </c>
      <c r="I45" s="254">
        <v>6.6100000000000006E-2</v>
      </c>
      <c r="J45" s="8">
        <v>9.9400000000000002E-2</v>
      </c>
      <c r="K45" s="254">
        <v>0.18</v>
      </c>
      <c r="M45" s="100">
        <f t="shared" si="2"/>
        <v>3.8000000000000027E-2</v>
      </c>
      <c r="N45" s="255">
        <v>0.12999999999999998</v>
      </c>
      <c r="O45" s="256">
        <v>3.5299999999999998E-2</v>
      </c>
      <c r="P45" s="256">
        <v>6.6799999999999998E-2</v>
      </c>
      <c r="Q45" s="256">
        <v>0.1338</v>
      </c>
      <c r="S45" s="100">
        <f t="shared" si="3"/>
        <v>3.8000000000000027E-2</v>
      </c>
      <c r="T45" s="255">
        <v>0.12999999999999998</v>
      </c>
      <c r="U45" s="256">
        <v>4.48E-2</v>
      </c>
      <c r="V45" s="256">
        <v>8.4699999999999998E-2</v>
      </c>
      <c r="W45" s="256">
        <v>0.16930000000000001</v>
      </c>
      <c r="Y45" s="100">
        <f t="shared" si="4"/>
        <v>3.8000000000000027E-2</v>
      </c>
      <c r="Z45" s="255">
        <v>0.13399999999999995</v>
      </c>
      <c r="AA45" s="257">
        <v>3.5900000000000001E-2</v>
      </c>
      <c r="AB45" s="257">
        <v>6.8099999999999994E-2</v>
      </c>
      <c r="AC45" s="257">
        <v>0.13650000000000001</v>
      </c>
      <c r="AD45" s="5"/>
      <c r="AE45" s="5"/>
      <c r="AF45" s="5"/>
    </row>
    <row r="46" spans="1:32" x14ac:dyDescent="0.25">
      <c r="A46" s="10">
        <f t="shared" ref="A46:A47" si="5">A45+0.1%</f>
        <v>3.9000000000000028E-2</v>
      </c>
      <c r="B46" s="9">
        <v>4.0999999999999974E-2</v>
      </c>
      <c r="C46" s="254">
        <v>6.4899999999999999E-2</v>
      </c>
      <c r="D46" s="8">
        <v>9.9599999999999994E-2</v>
      </c>
      <c r="E46" s="254">
        <v>0.185</v>
      </c>
      <c r="G46" s="10">
        <f t="shared" si="1"/>
        <v>3.9000000000000028E-2</v>
      </c>
      <c r="H46" s="9">
        <v>2.099999999999997E-2</v>
      </c>
      <c r="I46" s="254">
        <v>6.7100000000000007E-2</v>
      </c>
      <c r="J46" s="8">
        <v>0.1012</v>
      </c>
      <c r="K46" s="254">
        <v>0.1837</v>
      </c>
      <c r="M46" s="100">
        <f t="shared" si="2"/>
        <v>3.9000000000000028E-2</v>
      </c>
      <c r="N46" s="255">
        <v>0.12899999999999998</v>
      </c>
      <c r="O46" s="256">
        <v>3.6299999999999999E-2</v>
      </c>
      <c r="P46" s="256">
        <v>6.8699999999999997E-2</v>
      </c>
      <c r="Q46" s="256">
        <v>0.13739999999999999</v>
      </c>
      <c r="S46" s="100">
        <f t="shared" si="3"/>
        <v>3.9000000000000028E-2</v>
      </c>
      <c r="T46" s="255">
        <v>0.12899999999999998</v>
      </c>
      <c r="U46" s="256">
        <v>4.5699999999999998E-2</v>
      </c>
      <c r="V46" s="256">
        <v>8.6599999999999996E-2</v>
      </c>
      <c r="W46" s="256">
        <v>0.1729</v>
      </c>
      <c r="Y46" s="100">
        <f t="shared" si="4"/>
        <v>3.9000000000000028E-2</v>
      </c>
      <c r="Z46" s="255">
        <v>0.13299999999999995</v>
      </c>
      <c r="AA46" s="257">
        <v>3.6900000000000002E-2</v>
      </c>
      <c r="AB46" s="257">
        <v>7.0000000000000007E-2</v>
      </c>
      <c r="AC46" s="257">
        <v>0.1401</v>
      </c>
      <c r="AD46" s="5"/>
      <c r="AE46" s="5"/>
      <c r="AF46" s="5"/>
    </row>
    <row r="47" spans="1:32" x14ac:dyDescent="0.25">
      <c r="A47" s="10">
        <f t="shared" si="5"/>
        <v>4.0000000000000029E-2</v>
      </c>
      <c r="B47" s="9">
        <v>3.9999999999999973E-2</v>
      </c>
      <c r="C47" s="254">
        <v>6.5799999999999997E-2</v>
      </c>
      <c r="D47" s="8">
        <v>0.1014</v>
      </c>
      <c r="E47" s="254">
        <v>0.18890000000000001</v>
      </c>
      <c r="G47" s="10">
        <f t="shared" si="1"/>
        <v>4.0000000000000029E-2</v>
      </c>
      <c r="H47" s="9">
        <v>1.9999999999999969E-2</v>
      </c>
      <c r="I47" s="254">
        <v>6.8000000000000005E-2</v>
      </c>
      <c r="J47" s="8">
        <v>0.10299999999999999</v>
      </c>
      <c r="K47" s="254">
        <v>0.1875</v>
      </c>
      <c r="M47" s="100">
        <f t="shared" si="2"/>
        <v>4.0000000000000029E-2</v>
      </c>
      <c r="N47" s="255">
        <v>0.12799999999999997</v>
      </c>
      <c r="O47" s="7">
        <v>3.7199999999999997E-2</v>
      </c>
      <c r="P47" s="7">
        <v>7.0499999999999993E-2</v>
      </c>
      <c r="Q47" s="7">
        <v>0.14099999999999999</v>
      </c>
      <c r="S47" s="100">
        <f t="shared" si="3"/>
        <v>4.0000000000000029E-2</v>
      </c>
      <c r="T47" s="255">
        <v>0.12799999999999997</v>
      </c>
      <c r="U47" s="256">
        <v>4.6699999999999998E-2</v>
      </c>
      <c r="V47" s="256">
        <v>8.8400000000000006E-2</v>
      </c>
      <c r="W47" s="7">
        <v>0.17649999999999999</v>
      </c>
      <c r="Y47" s="100">
        <f t="shared" si="4"/>
        <v>4.0000000000000029E-2</v>
      </c>
      <c r="Z47" s="255">
        <v>0.13199999999999995</v>
      </c>
      <c r="AA47" s="103">
        <v>3.7900000000000003E-2</v>
      </c>
      <c r="AB47" s="103">
        <v>7.1800000000000003E-2</v>
      </c>
      <c r="AC47" s="103">
        <v>0.14369999999999999</v>
      </c>
      <c r="AD47" s="5"/>
      <c r="AE47" s="5"/>
      <c r="AF47" s="5"/>
    </row>
    <row r="48" spans="1:32" x14ac:dyDescent="0.25">
      <c r="A48" s="10"/>
      <c r="B48" s="80"/>
      <c r="C48" s="81"/>
      <c r="D48" s="81"/>
      <c r="E48" s="81"/>
      <c r="G48" s="10"/>
      <c r="I48" s="79"/>
      <c r="J48" s="79"/>
      <c r="K48" s="79"/>
      <c r="M48" s="100">
        <f t="shared" si="2"/>
        <v>4.1000000000000029E-2</v>
      </c>
      <c r="N48" s="255">
        <v>0.12699999999999997</v>
      </c>
      <c r="O48" s="7">
        <v>3.8199999999999998E-2</v>
      </c>
      <c r="P48" s="7">
        <v>7.2300000000000003E-2</v>
      </c>
      <c r="Q48" s="7">
        <v>0.14460000000000001</v>
      </c>
      <c r="S48" s="100">
        <f t="shared" si="3"/>
        <v>4.1000000000000029E-2</v>
      </c>
      <c r="T48" s="255">
        <v>0.12699999999999997</v>
      </c>
      <c r="U48" s="256">
        <v>4.7699999999999999E-2</v>
      </c>
      <c r="V48" s="256">
        <v>9.0300000000000005E-2</v>
      </c>
      <c r="W48" s="7">
        <v>0.18010000000000001</v>
      </c>
      <c r="Y48" s="100">
        <f t="shared" si="4"/>
        <v>4.1000000000000029E-2</v>
      </c>
      <c r="Z48" s="255">
        <v>0.13099999999999995</v>
      </c>
      <c r="AA48" s="103">
        <v>3.8899999999999997E-2</v>
      </c>
      <c r="AB48" s="103">
        <v>7.3599999999999999E-2</v>
      </c>
      <c r="AC48" s="103">
        <v>0.14729999999999999</v>
      </c>
      <c r="AD48" s="5"/>
      <c r="AE48" s="5"/>
      <c r="AF48" s="5"/>
    </row>
    <row r="49" spans="1:32" x14ac:dyDescent="0.25">
      <c r="A49" s="10"/>
      <c r="B49" s="80"/>
      <c r="C49" s="81"/>
      <c r="D49" s="81"/>
      <c r="E49" s="81"/>
      <c r="G49" s="10"/>
      <c r="I49" s="79"/>
      <c r="J49" s="79"/>
      <c r="K49" s="79"/>
      <c r="M49" s="100">
        <f t="shared" si="2"/>
        <v>4.200000000000003E-2</v>
      </c>
      <c r="N49" s="255">
        <v>0.12599999999999997</v>
      </c>
      <c r="O49" s="7">
        <v>3.9199999999999999E-2</v>
      </c>
      <c r="P49" s="7">
        <v>7.4200000000000002E-2</v>
      </c>
      <c r="Q49" s="7">
        <v>0.14810000000000001</v>
      </c>
      <c r="S49" s="100">
        <f t="shared" si="3"/>
        <v>4.200000000000003E-2</v>
      </c>
      <c r="T49" s="255">
        <v>0.12599999999999997</v>
      </c>
      <c r="U49" s="256">
        <v>4.87E-2</v>
      </c>
      <c r="V49" s="256">
        <v>9.2100000000000001E-2</v>
      </c>
      <c r="W49" s="7">
        <v>0.1837</v>
      </c>
      <c r="Y49" s="100">
        <f t="shared" si="4"/>
        <v>4.200000000000003E-2</v>
      </c>
      <c r="Z49" s="255">
        <v>0.12999999999999995</v>
      </c>
      <c r="AA49" s="103">
        <v>3.9899999999999998E-2</v>
      </c>
      <c r="AB49" s="103">
        <v>7.5499999999999998E-2</v>
      </c>
      <c r="AC49" s="103">
        <v>0.15090000000000001</v>
      </c>
      <c r="AD49" s="5"/>
      <c r="AE49" s="5"/>
      <c r="AF49" s="5"/>
    </row>
    <row r="50" spans="1:32" x14ac:dyDescent="0.25">
      <c r="A50" s="10"/>
      <c r="B50" s="80"/>
      <c r="C50" s="81"/>
      <c r="D50" s="81"/>
      <c r="E50" s="81"/>
      <c r="G50" s="10"/>
      <c r="I50" s="79"/>
      <c r="J50" s="79"/>
      <c r="K50" s="79"/>
      <c r="M50" s="100">
        <f t="shared" si="2"/>
        <v>4.3000000000000031E-2</v>
      </c>
      <c r="N50" s="255">
        <v>0.12499999999999997</v>
      </c>
      <c r="O50" s="7">
        <v>4.02E-2</v>
      </c>
      <c r="P50" s="7">
        <v>7.5999999999999998E-2</v>
      </c>
      <c r="Q50" s="7">
        <v>0.1517</v>
      </c>
      <c r="S50" s="100">
        <f t="shared" si="3"/>
        <v>4.3000000000000031E-2</v>
      </c>
      <c r="T50" s="255">
        <v>0.12499999999999997</v>
      </c>
      <c r="U50" s="256">
        <v>4.9700000000000001E-2</v>
      </c>
      <c r="V50" s="256">
        <v>9.4E-2</v>
      </c>
      <c r="W50" s="7">
        <v>0.18720000000000001</v>
      </c>
      <c r="Y50" s="100">
        <f t="shared" si="4"/>
        <v>4.3000000000000031E-2</v>
      </c>
      <c r="Z50" s="255">
        <v>0.12899999999999995</v>
      </c>
      <c r="AA50" s="103">
        <v>4.0800000000000003E-2</v>
      </c>
      <c r="AB50" s="103">
        <v>7.7299999999999994E-2</v>
      </c>
      <c r="AC50" s="103">
        <v>0.1545</v>
      </c>
      <c r="AD50" s="5"/>
      <c r="AE50" s="5"/>
      <c r="AF50" s="5"/>
    </row>
    <row r="51" spans="1:32" x14ac:dyDescent="0.25">
      <c r="A51" s="10"/>
      <c r="B51" s="80"/>
      <c r="C51" s="81"/>
      <c r="D51" s="81"/>
      <c r="E51" s="81"/>
      <c r="G51" s="10"/>
      <c r="I51" s="79"/>
      <c r="J51" s="79"/>
      <c r="K51" s="79"/>
      <c r="M51" s="100">
        <f t="shared" si="2"/>
        <v>4.4000000000000032E-2</v>
      </c>
      <c r="N51" s="255">
        <v>0.12399999999999997</v>
      </c>
      <c r="O51" s="7">
        <v>4.1099999999999998E-2</v>
      </c>
      <c r="P51" s="7">
        <v>7.7799999999999994E-2</v>
      </c>
      <c r="Q51" s="7">
        <v>0.15529999999999999</v>
      </c>
      <c r="S51" s="100">
        <f t="shared" si="3"/>
        <v>4.4000000000000032E-2</v>
      </c>
      <c r="T51" s="255">
        <v>0.12399999999999997</v>
      </c>
      <c r="U51" s="256">
        <v>5.0700000000000002E-2</v>
      </c>
      <c r="V51" s="256">
        <v>9.5799999999999996E-2</v>
      </c>
      <c r="W51" s="7">
        <v>0.1908</v>
      </c>
      <c r="Y51" s="100">
        <f t="shared" si="4"/>
        <v>4.4000000000000032E-2</v>
      </c>
      <c r="Z51" s="255">
        <v>0.12799999999999995</v>
      </c>
      <c r="AA51" s="103">
        <v>4.1799999999999997E-2</v>
      </c>
      <c r="AB51" s="103">
        <v>7.9200000000000007E-2</v>
      </c>
      <c r="AC51" s="103">
        <v>0.15809999999999999</v>
      </c>
      <c r="AD51" s="5"/>
      <c r="AE51" s="5"/>
      <c r="AF51" s="5"/>
    </row>
    <row r="52" spans="1:32" x14ac:dyDescent="0.25">
      <c r="A52" s="10"/>
      <c r="B52" s="80"/>
      <c r="C52" s="81"/>
      <c r="D52" s="81"/>
      <c r="E52" s="81"/>
      <c r="G52" s="10"/>
      <c r="I52" s="79"/>
      <c r="J52" s="79"/>
      <c r="K52" s="79"/>
      <c r="M52" s="100">
        <f t="shared" si="2"/>
        <v>4.5000000000000033E-2</v>
      </c>
      <c r="N52" s="255">
        <v>0.12299999999999997</v>
      </c>
      <c r="O52" s="7">
        <v>4.2099999999999999E-2</v>
      </c>
      <c r="P52" s="7">
        <v>7.9600000000000004E-2</v>
      </c>
      <c r="Q52" s="7">
        <v>0.1588</v>
      </c>
      <c r="S52" s="100">
        <f t="shared" si="3"/>
        <v>4.5000000000000033E-2</v>
      </c>
      <c r="T52" s="255">
        <v>0.12299999999999997</v>
      </c>
      <c r="U52" s="256">
        <v>5.16E-2</v>
      </c>
      <c r="V52" s="256">
        <v>9.7600000000000006E-2</v>
      </c>
      <c r="W52" s="8">
        <v>0.19439999999999999</v>
      </c>
      <c r="Y52" s="100">
        <f t="shared" si="4"/>
        <v>4.5000000000000033E-2</v>
      </c>
      <c r="Z52" s="255">
        <v>0.12699999999999995</v>
      </c>
      <c r="AA52" s="103">
        <v>4.2799999999999998E-2</v>
      </c>
      <c r="AB52" s="103">
        <v>8.1000000000000003E-2</v>
      </c>
      <c r="AC52" s="103">
        <v>0.16170000000000001</v>
      </c>
      <c r="AD52" s="5"/>
      <c r="AE52" s="5"/>
      <c r="AF52" s="5"/>
    </row>
    <row r="53" spans="1:32" x14ac:dyDescent="0.25">
      <c r="A53" s="10"/>
      <c r="B53" s="80"/>
      <c r="C53" s="81"/>
      <c r="D53" s="81"/>
      <c r="E53" s="81"/>
      <c r="G53" s="10"/>
      <c r="I53" s="79"/>
      <c r="J53" s="79"/>
      <c r="K53" s="79"/>
      <c r="M53" s="100">
        <f t="shared" si="2"/>
        <v>4.6000000000000034E-2</v>
      </c>
      <c r="N53" s="255">
        <v>0.12199999999999997</v>
      </c>
      <c r="O53" s="7">
        <v>4.3099999999999999E-2</v>
      </c>
      <c r="P53" s="7">
        <v>8.1500000000000003E-2</v>
      </c>
      <c r="Q53" s="7">
        <v>0.16239999999999999</v>
      </c>
      <c r="S53" s="100">
        <f t="shared" si="3"/>
        <v>4.6000000000000034E-2</v>
      </c>
      <c r="T53" s="255">
        <v>0.12199999999999997</v>
      </c>
      <c r="U53" s="256">
        <v>5.2600000000000001E-2</v>
      </c>
      <c r="V53" s="256">
        <v>9.9500000000000005E-2</v>
      </c>
      <c r="W53" s="8">
        <v>0.19800000000000001</v>
      </c>
      <c r="Y53" s="100">
        <f t="shared" si="4"/>
        <v>4.6000000000000034E-2</v>
      </c>
      <c r="Z53" s="255">
        <v>0.12599999999999995</v>
      </c>
      <c r="AA53" s="103">
        <v>4.3799999999999999E-2</v>
      </c>
      <c r="AB53" s="103">
        <v>8.2799999999999999E-2</v>
      </c>
      <c r="AC53" s="103">
        <v>0.1653</v>
      </c>
      <c r="AD53" s="5"/>
      <c r="AE53" s="5"/>
      <c r="AF53" s="5"/>
    </row>
    <row r="54" spans="1:32" x14ac:dyDescent="0.25">
      <c r="A54" s="10"/>
      <c r="B54" s="80"/>
      <c r="C54" s="81"/>
      <c r="D54" s="81"/>
      <c r="E54" s="81"/>
      <c r="G54" s="10"/>
      <c r="I54" s="79"/>
      <c r="J54" s="79"/>
      <c r="K54" s="79"/>
      <c r="M54" s="100">
        <f t="shared" si="2"/>
        <v>4.7000000000000035E-2</v>
      </c>
      <c r="N54" s="255">
        <v>0.12099999999999997</v>
      </c>
      <c r="O54" s="7">
        <v>4.3999999999999997E-2</v>
      </c>
      <c r="P54" s="7">
        <v>8.3299999999999999E-2</v>
      </c>
      <c r="Q54" s="7">
        <v>0.16589999999999999</v>
      </c>
      <c r="S54" s="100">
        <f t="shared" si="3"/>
        <v>4.7000000000000035E-2</v>
      </c>
      <c r="T54" s="255">
        <v>0.12099999999999997</v>
      </c>
      <c r="U54" s="256">
        <v>5.3600000000000002E-2</v>
      </c>
      <c r="V54" s="256">
        <v>0.1013</v>
      </c>
      <c r="W54" s="8">
        <v>0.20150000000000001</v>
      </c>
      <c r="Y54" s="100">
        <f t="shared" si="4"/>
        <v>4.7000000000000035E-2</v>
      </c>
      <c r="Z54" s="255">
        <v>0.12499999999999994</v>
      </c>
      <c r="AA54" s="103">
        <v>4.48E-2</v>
      </c>
      <c r="AB54" s="103">
        <v>8.4699999999999998E-2</v>
      </c>
      <c r="AC54" s="103">
        <v>0.16889999999999999</v>
      </c>
      <c r="AD54" s="5"/>
      <c r="AE54" s="5"/>
      <c r="AF54" s="5"/>
    </row>
    <row r="55" spans="1:32" x14ac:dyDescent="0.25">
      <c r="A55" s="10"/>
      <c r="B55" s="80"/>
      <c r="C55" s="81"/>
      <c r="D55" s="81"/>
      <c r="E55" s="81"/>
      <c r="G55" s="10"/>
      <c r="I55" s="79"/>
      <c r="J55" s="79"/>
      <c r="K55" s="79"/>
      <c r="M55" s="100">
        <f t="shared" si="2"/>
        <v>4.8000000000000036E-2</v>
      </c>
      <c r="N55" s="255">
        <v>0.11999999999999997</v>
      </c>
      <c r="O55" s="7">
        <v>4.4999999999999998E-2</v>
      </c>
      <c r="P55" s="7">
        <v>8.5099999999999995E-2</v>
      </c>
      <c r="Q55" s="7">
        <v>0.16950000000000001</v>
      </c>
      <c r="S55" s="100">
        <f t="shared" si="3"/>
        <v>4.8000000000000036E-2</v>
      </c>
      <c r="T55" s="255">
        <v>0.11999999999999997</v>
      </c>
      <c r="U55" s="256">
        <v>5.4600000000000003E-2</v>
      </c>
      <c r="V55" s="256">
        <v>0.1031</v>
      </c>
      <c r="W55" s="8">
        <v>0.2051</v>
      </c>
      <c r="Y55" s="100">
        <f t="shared" si="4"/>
        <v>4.8000000000000036E-2</v>
      </c>
      <c r="Z55" s="255">
        <v>0.12399999999999994</v>
      </c>
      <c r="AA55" s="103">
        <v>4.5699999999999998E-2</v>
      </c>
      <c r="AB55" s="103">
        <v>8.6499999999999994E-2</v>
      </c>
      <c r="AC55" s="103">
        <v>0.17249999999999999</v>
      </c>
      <c r="AD55" s="5"/>
      <c r="AE55" s="5"/>
      <c r="AF55" s="5"/>
    </row>
    <row r="56" spans="1:32" x14ac:dyDescent="0.25">
      <c r="A56" s="10"/>
      <c r="B56" s="80"/>
      <c r="C56" s="81"/>
      <c r="D56" s="81"/>
      <c r="E56" s="81"/>
      <c r="G56" s="16"/>
      <c r="I56" s="79"/>
      <c r="J56" s="79"/>
      <c r="K56" s="79"/>
      <c r="M56" s="100">
        <f t="shared" si="2"/>
        <v>4.9000000000000037E-2</v>
      </c>
      <c r="N56" s="255">
        <v>0.11899999999999997</v>
      </c>
      <c r="O56" s="7">
        <v>4.5999999999999999E-2</v>
      </c>
      <c r="P56" s="7">
        <v>8.6900000000000005E-2</v>
      </c>
      <c r="Q56" s="7">
        <v>0.17299999999999999</v>
      </c>
      <c r="S56" s="100">
        <f t="shared" si="3"/>
        <v>4.9000000000000037E-2</v>
      </c>
      <c r="T56" s="255">
        <v>0.11899999999999997</v>
      </c>
      <c r="U56" s="256">
        <v>5.5599999999999997E-2</v>
      </c>
      <c r="V56" s="256">
        <v>0.105</v>
      </c>
      <c r="W56" s="8">
        <v>0.20860000000000001</v>
      </c>
      <c r="Y56" s="100">
        <f t="shared" si="4"/>
        <v>4.9000000000000037E-2</v>
      </c>
      <c r="Z56" s="255">
        <v>0.12299999999999994</v>
      </c>
      <c r="AA56" s="103">
        <v>4.6699999999999998E-2</v>
      </c>
      <c r="AB56" s="103">
        <v>8.8300000000000003E-2</v>
      </c>
      <c r="AC56" s="103">
        <v>0.17599999999999999</v>
      </c>
      <c r="AD56" s="5"/>
      <c r="AE56" s="5"/>
      <c r="AF56" s="5"/>
    </row>
    <row r="57" spans="1:32" x14ac:dyDescent="0.25">
      <c r="A57" s="10"/>
      <c r="B57" s="80"/>
      <c r="C57" s="81"/>
      <c r="D57" s="81"/>
      <c r="E57" s="81"/>
      <c r="G57" s="16"/>
      <c r="I57" s="79"/>
      <c r="J57" s="79"/>
      <c r="K57" s="79"/>
      <c r="M57" s="100">
        <f t="shared" si="2"/>
        <v>5.0000000000000037E-2</v>
      </c>
      <c r="N57" s="255">
        <v>0.11799999999999997</v>
      </c>
      <c r="O57" s="7">
        <v>4.6899999999999997E-2</v>
      </c>
      <c r="P57" s="7">
        <v>8.8700000000000001E-2</v>
      </c>
      <c r="Q57" s="7">
        <v>0.17660000000000001</v>
      </c>
      <c r="S57" s="100">
        <f t="shared" si="3"/>
        <v>5.0000000000000037E-2</v>
      </c>
      <c r="T57" s="255">
        <v>0.11799999999999997</v>
      </c>
      <c r="U57" s="256">
        <v>5.6599999999999998E-2</v>
      </c>
      <c r="V57" s="256">
        <v>0.10680000000000001</v>
      </c>
      <c r="W57" s="8">
        <v>0.2122</v>
      </c>
      <c r="Y57" s="100">
        <f t="shared" si="4"/>
        <v>5.0000000000000037E-2</v>
      </c>
      <c r="Z57" s="255">
        <v>0.12199999999999994</v>
      </c>
      <c r="AA57" s="103">
        <v>4.7699999999999999E-2</v>
      </c>
      <c r="AB57" s="103">
        <v>9.0200000000000002E-2</v>
      </c>
      <c r="AC57" s="103">
        <v>0.17960000000000001</v>
      </c>
      <c r="AD57" s="5"/>
      <c r="AE57" s="5"/>
      <c r="AF57" s="5"/>
    </row>
    <row r="58" spans="1:32" x14ac:dyDescent="0.25">
      <c r="A58" s="10"/>
      <c r="B58" s="80"/>
      <c r="C58" s="81"/>
      <c r="D58" s="81"/>
      <c r="E58" s="81"/>
      <c r="G58" s="16"/>
      <c r="I58" s="79"/>
      <c r="J58" s="79"/>
      <c r="K58" s="79"/>
      <c r="M58" s="100">
        <f t="shared" si="2"/>
        <v>5.1000000000000038E-2</v>
      </c>
      <c r="N58" s="255">
        <v>0.11699999999999997</v>
      </c>
      <c r="O58" s="7">
        <v>4.7899999999999998E-2</v>
      </c>
      <c r="P58" s="7">
        <v>9.0499999999999997E-2</v>
      </c>
      <c r="Q58" s="7">
        <v>0.18010000000000001</v>
      </c>
      <c r="S58" s="100">
        <f t="shared" si="3"/>
        <v>5.1000000000000038E-2</v>
      </c>
      <c r="T58" s="255">
        <v>0.11699999999999997</v>
      </c>
      <c r="U58" s="256">
        <v>5.7500000000000002E-2</v>
      </c>
      <c r="V58" s="256">
        <v>0.1087</v>
      </c>
      <c r="W58" s="8">
        <v>0.2157</v>
      </c>
      <c r="Y58" s="100">
        <f t="shared" si="4"/>
        <v>5.1000000000000038E-2</v>
      </c>
      <c r="Z58" s="255">
        <v>0.12099999999999994</v>
      </c>
      <c r="AA58" s="103">
        <v>4.87E-2</v>
      </c>
      <c r="AB58" s="103">
        <v>9.1999999999999998E-2</v>
      </c>
      <c r="AC58" s="103">
        <v>0.18310000000000001</v>
      </c>
      <c r="AD58" s="5"/>
      <c r="AE58" s="5"/>
      <c r="AF58" s="5"/>
    </row>
    <row r="59" spans="1:32" x14ac:dyDescent="0.25">
      <c r="A59" s="10"/>
      <c r="B59" s="80"/>
      <c r="C59" s="81"/>
      <c r="D59" s="81"/>
      <c r="E59" s="81"/>
      <c r="G59" s="16"/>
      <c r="I59" s="79"/>
      <c r="J59" s="79"/>
      <c r="K59" s="79"/>
      <c r="M59" s="100">
        <f t="shared" si="2"/>
        <v>5.2000000000000039E-2</v>
      </c>
      <c r="N59" s="255">
        <v>0.11599999999999996</v>
      </c>
      <c r="O59" s="7">
        <v>4.8899999999999999E-2</v>
      </c>
      <c r="P59" s="7">
        <v>9.2399999999999996E-2</v>
      </c>
      <c r="Q59" s="7">
        <v>0.18360000000000001</v>
      </c>
      <c r="S59" s="100">
        <f t="shared" si="3"/>
        <v>5.2000000000000039E-2</v>
      </c>
      <c r="T59" s="255">
        <v>0.11599999999999996</v>
      </c>
      <c r="U59" s="256">
        <v>5.8500000000000003E-2</v>
      </c>
      <c r="V59" s="256">
        <v>0.1105</v>
      </c>
      <c r="W59" s="8">
        <v>0.21920000000000001</v>
      </c>
      <c r="Y59" s="100">
        <f t="shared" si="4"/>
        <v>5.2000000000000039E-2</v>
      </c>
      <c r="Z59" s="255">
        <v>0.11999999999999994</v>
      </c>
      <c r="AA59" s="103">
        <v>4.9599999999999998E-2</v>
      </c>
      <c r="AB59" s="103">
        <v>9.3799999999999994E-2</v>
      </c>
      <c r="AC59" s="103">
        <v>0.1867</v>
      </c>
      <c r="AD59" s="5"/>
      <c r="AE59" s="5"/>
      <c r="AF59" s="5"/>
    </row>
    <row r="60" spans="1:32" x14ac:dyDescent="0.25">
      <c r="A60" s="10"/>
      <c r="B60" s="80"/>
      <c r="C60" s="81"/>
      <c r="D60" s="81"/>
      <c r="E60" s="81"/>
      <c r="G60" s="16"/>
      <c r="I60" s="79"/>
      <c r="J60" s="79"/>
      <c r="K60" s="79"/>
      <c r="M60" s="100">
        <f t="shared" si="2"/>
        <v>5.300000000000004E-2</v>
      </c>
      <c r="N60" s="255">
        <v>0.11499999999999996</v>
      </c>
      <c r="O60" s="256">
        <v>4.99E-2</v>
      </c>
      <c r="P60" s="256">
        <v>9.4200000000000006E-2</v>
      </c>
      <c r="Q60" s="256">
        <v>0.18709999999999999</v>
      </c>
      <c r="S60" s="100">
        <f t="shared" si="3"/>
        <v>5.300000000000004E-2</v>
      </c>
      <c r="T60" s="255">
        <v>0.11499999999999996</v>
      </c>
      <c r="U60" s="256">
        <v>5.9499999999999997E-2</v>
      </c>
      <c r="V60" s="256">
        <v>0.1123</v>
      </c>
      <c r="W60" s="8">
        <v>0.22270000000000001</v>
      </c>
      <c r="Y60" s="100">
        <f t="shared" si="4"/>
        <v>5.300000000000004E-2</v>
      </c>
      <c r="Z60" s="255">
        <v>0.11899999999999994</v>
      </c>
      <c r="AA60" s="257">
        <v>5.0599999999999999E-2</v>
      </c>
      <c r="AB60" s="257">
        <v>9.5600000000000004E-2</v>
      </c>
      <c r="AC60" s="257">
        <v>0.19020000000000001</v>
      </c>
    </row>
    <row r="61" spans="1:32" x14ac:dyDescent="0.25">
      <c r="A61" s="14"/>
      <c r="B61" s="15"/>
      <c r="C61" s="81"/>
      <c r="D61" s="81"/>
      <c r="E61" s="81"/>
      <c r="G61" s="16"/>
      <c r="I61" s="79"/>
      <c r="J61" s="79"/>
      <c r="K61" s="79"/>
      <c r="M61" s="100">
        <f t="shared" si="2"/>
        <v>5.4000000000000041E-2</v>
      </c>
      <c r="N61" s="255">
        <v>0.11399999999999996</v>
      </c>
      <c r="O61" s="256">
        <v>5.0799999999999998E-2</v>
      </c>
      <c r="P61" s="256">
        <v>9.6000000000000002E-2</v>
      </c>
      <c r="Q61" s="256">
        <v>0.19059999999999999</v>
      </c>
      <c r="S61" s="100">
        <f t="shared" si="3"/>
        <v>5.4000000000000041E-2</v>
      </c>
      <c r="T61" s="255">
        <v>0.11399999999999996</v>
      </c>
      <c r="U61" s="256">
        <v>6.0499999999999998E-2</v>
      </c>
      <c r="V61" s="256">
        <v>0.11409999999999999</v>
      </c>
      <c r="W61" s="8">
        <v>0.2263</v>
      </c>
      <c r="Y61" s="100">
        <f t="shared" si="4"/>
        <v>5.4000000000000041E-2</v>
      </c>
      <c r="Z61" s="255">
        <v>0.11799999999999994</v>
      </c>
      <c r="AA61" s="257">
        <v>5.16E-2</v>
      </c>
      <c r="AB61" s="257">
        <v>9.7500000000000003E-2</v>
      </c>
      <c r="AC61" s="257">
        <v>0.1938</v>
      </c>
    </row>
    <row r="62" spans="1:32" x14ac:dyDescent="0.25">
      <c r="A62" s="14"/>
      <c r="B62" s="15"/>
      <c r="C62" s="81"/>
      <c r="D62" s="81"/>
      <c r="E62" s="81"/>
      <c r="G62" s="16"/>
      <c r="I62" s="79"/>
      <c r="J62" s="79"/>
      <c r="K62" s="79"/>
      <c r="M62" s="100">
        <f t="shared" si="2"/>
        <v>5.5000000000000042E-2</v>
      </c>
      <c r="N62" s="255">
        <v>0.11299999999999996</v>
      </c>
      <c r="O62" s="256">
        <v>5.1799999999999999E-2</v>
      </c>
      <c r="P62" s="256">
        <v>9.7799999999999998E-2</v>
      </c>
      <c r="Q62" s="256">
        <v>0.19409999999999999</v>
      </c>
      <c r="S62" s="100">
        <f t="shared" si="3"/>
        <v>5.5000000000000042E-2</v>
      </c>
      <c r="T62" s="255">
        <v>0.11299999999999996</v>
      </c>
      <c r="U62" s="256">
        <v>6.1499999999999999E-2</v>
      </c>
      <c r="V62" s="256">
        <v>0.11600000000000001</v>
      </c>
      <c r="W62" s="8">
        <v>0.2298</v>
      </c>
      <c r="Y62" s="100">
        <f t="shared" si="4"/>
        <v>5.5000000000000042E-2</v>
      </c>
      <c r="Z62" s="255">
        <v>0.11699999999999994</v>
      </c>
      <c r="AA62" s="257">
        <v>5.2600000000000001E-2</v>
      </c>
      <c r="AB62" s="257">
        <v>9.9299999999999999E-2</v>
      </c>
      <c r="AC62" s="257">
        <v>0.1973</v>
      </c>
    </row>
    <row r="63" spans="1:32" x14ac:dyDescent="0.25">
      <c r="A63" s="14"/>
      <c r="B63" s="15"/>
      <c r="C63" s="81"/>
      <c r="D63" s="81"/>
      <c r="E63" s="81"/>
      <c r="G63" s="16"/>
      <c r="I63" s="79"/>
      <c r="J63" s="79"/>
      <c r="K63" s="79"/>
      <c r="M63" s="100">
        <f t="shared" si="2"/>
        <v>5.6000000000000043E-2</v>
      </c>
      <c r="N63" s="255">
        <v>0.11199999999999996</v>
      </c>
      <c r="O63" s="256">
        <v>5.28E-2</v>
      </c>
      <c r="P63" s="256">
        <v>9.9599999999999994E-2</v>
      </c>
      <c r="Q63" s="256">
        <v>0.1976</v>
      </c>
      <c r="S63" s="100">
        <f t="shared" si="3"/>
        <v>5.6000000000000043E-2</v>
      </c>
      <c r="T63" s="255">
        <v>0.11199999999999996</v>
      </c>
      <c r="U63" s="256">
        <v>6.2399999999999997E-2</v>
      </c>
      <c r="V63" s="256">
        <v>0.1178</v>
      </c>
      <c r="W63" s="8">
        <v>0.23330000000000001</v>
      </c>
      <c r="Y63" s="100">
        <f t="shared" si="4"/>
        <v>5.6000000000000043E-2</v>
      </c>
      <c r="Z63" s="255">
        <v>0.11599999999999994</v>
      </c>
      <c r="AA63" s="257">
        <v>5.3499999999999999E-2</v>
      </c>
      <c r="AB63" s="257">
        <v>0.1011</v>
      </c>
      <c r="AC63" s="257">
        <v>0.20080000000000001</v>
      </c>
    </row>
    <row r="64" spans="1:32" x14ac:dyDescent="0.25">
      <c r="A64" s="14"/>
      <c r="B64" s="15"/>
      <c r="C64" s="81"/>
      <c r="D64" s="81"/>
      <c r="E64" s="81"/>
      <c r="G64" s="16"/>
      <c r="I64" s="79"/>
      <c r="J64" s="79"/>
      <c r="K64" s="79"/>
      <c r="M64" s="100">
        <f t="shared" si="2"/>
        <v>5.7000000000000044E-2</v>
      </c>
      <c r="N64" s="255">
        <v>0.11099999999999996</v>
      </c>
      <c r="O64" s="256">
        <v>5.3699999999999998E-2</v>
      </c>
      <c r="P64" s="256">
        <v>0.1014</v>
      </c>
      <c r="Q64" s="256">
        <v>0.2011</v>
      </c>
      <c r="S64" s="100">
        <f t="shared" si="3"/>
        <v>5.7000000000000044E-2</v>
      </c>
      <c r="T64" s="255">
        <v>0.11099999999999996</v>
      </c>
      <c r="U64" s="256">
        <v>6.3399999999999998E-2</v>
      </c>
      <c r="V64" s="256">
        <v>0.1196</v>
      </c>
      <c r="W64" s="8">
        <v>0.23680000000000001</v>
      </c>
      <c r="Y64" s="100">
        <f t="shared" si="4"/>
        <v>5.7000000000000044E-2</v>
      </c>
      <c r="Z64" s="255">
        <v>0.11499999999999994</v>
      </c>
      <c r="AA64" s="257">
        <v>5.45E-2</v>
      </c>
      <c r="AB64" s="257">
        <v>0.10290000000000001</v>
      </c>
      <c r="AC64" s="257">
        <v>0.20430000000000001</v>
      </c>
    </row>
    <row r="65" spans="1:29" x14ac:dyDescent="0.25">
      <c r="A65" s="14"/>
      <c r="B65" s="15"/>
      <c r="C65" s="81"/>
      <c r="D65" s="81"/>
      <c r="E65" s="81"/>
      <c r="G65" s="16"/>
      <c r="I65" s="79"/>
      <c r="J65" s="79"/>
      <c r="K65" s="79"/>
      <c r="M65" s="100">
        <f t="shared" si="2"/>
        <v>5.8000000000000045E-2</v>
      </c>
      <c r="N65" s="255">
        <v>0.10999999999999996</v>
      </c>
      <c r="O65" s="256">
        <v>5.4699999999999999E-2</v>
      </c>
      <c r="P65" s="256">
        <v>0.1032</v>
      </c>
      <c r="Q65" s="256">
        <v>0.2046</v>
      </c>
      <c r="S65" s="100">
        <f t="shared" si="3"/>
        <v>5.8000000000000045E-2</v>
      </c>
      <c r="T65" s="255">
        <v>0.10999999999999996</v>
      </c>
      <c r="U65" s="256">
        <v>6.4399999999999999E-2</v>
      </c>
      <c r="V65" s="256">
        <v>0.12139999999999999</v>
      </c>
      <c r="W65" s="8">
        <v>0.24030000000000001</v>
      </c>
      <c r="Y65" s="100">
        <f t="shared" si="4"/>
        <v>5.8000000000000045E-2</v>
      </c>
      <c r="Z65" s="255">
        <v>0.11399999999999993</v>
      </c>
      <c r="AA65" s="257">
        <v>5.5500000000000001E-2</v>
      </c>
      <c r="AB65" s="257">
        <v>0.1048</v>
      </c>
      <c r="AC65" s="257">
        <v>0.2079</v>
      </c>
    </row>
    <row r="66" spans="1:29" x14ac:dyDescent="0.25">
      <c r="A66" s="14"/>
      <c r="B66" s="15"/>
      <c r="C66" s="81"/>
      <c r="D66" s="81"/>
      <c r="E66" s="81"/>
      <c r="G66" s="16"/>
      <c r="I66" s="79"/>
      <c r="J66" s="79"/>
      <c r="K66" s="79"/>
      <c r="M66" s="100">
        <f t="shared" si="2"/>
        <v>5.9000000000000045E-2</v>
      </c>
      <c r="N66" s="255">
        <v>0.10899999999999996</v>
      </c>
      <c r="O66" s="256">
        <v>5.57E-2</v>
      </c>
      <c r="P66" s="256">
        <v>0.105</v>
      </c>
      <c r="Q66" s="256">
        <v>0.20810000000000001</v>
      </c>
      <c r="S66" s="100">
        <f t="shared" si="3"/>
        <v>5.9000000000000045E-2</v>
      </c>
      <c r="T66" s="255">
        <v>0.10899999999999996</v>
      </c>
      <c r="U66" s="256">
        <v>6.54E-2</v>
      </c>
      <c r="V66" s="256">
        <v>0.12330000000000001</v>
      </c>
      <c r="W66" s="8">
        <v>0.24379999999999999</v>
      </c>
      <c r="Y66" s="100">
        <f t="shared" si="4"/>
        <v>5.9000000000000045E-2</v>
      </c>
      <c r="Z66" s="255">
        <v>0.11299999999999993</v>
      </c>
      <c r="AA66" s="257">
        <v>5.6500000000000002E-2</v>
      </c>
      <c r="AB66" s="257">
        <v>0.1066</v>
      </c>
      <c r="AC66" s="257">
        <v>0.2114</v>
      </c>
    </row>
    <row r="67" spans="1:29" x14ac:dyDescent="0.25">
      <c r="A67" s="14"/>
      <c r="B67" s="15"/>
      <c r="C67" s="81"/>
      <c r="D67" s="81"/>
      <c r="E67" s="81"/>
      <c r="G67" s="16"/>
      <c r="I67" s="79"/>
      <c r="J67" s="79"/>
      <c r="K67" s="79"/>
      <c r="M67" s="100">
        <f t="shared" si="2"/>
        <v>6.0000000000000046E-2</v>
      </c>
      <c r="N67" s="255">
        <v>0.10799999999999996</v>
      </c>
      <c r="O67" s="256">
        <v>5.6599999999999998E-2</v>
      </c>
      <c r="P67" s="256">
        <v>0.10680000000000001</v>
      </c>
      <c r="Q67" s="256">
        <v>0.21160000000000001</v>
      </c>
      <c r="S67" s="100">
        <f t="shared" si="3"/>
        <v>6.0000000000000046E-2</v>
      </c>
      <c r="T67" s="255">
        <v>0.10799999999999996</v>
      </c>
      <c r="U67" s="256">
        <v>6.6400000000000001E-2</v>
      </c>
      <c r="V67" s="256">
        <v>0.12509999999999999</v>
      </c>
      <c r="W67" s="8">
        <v>0.2472</v>
      </c>
      <c r="Y67" s="100">
        <f t="shared" si="4"/>
        <v>6.0000000000000046E-2</v>
      </c>
      <c r="Z67" s="255">
        <v>0.11199999999999993</v>
      </c>
      <c r="AA67" s="257">
        <v>5.74E-2</v>
      </c>
      <c r="AB67" s="257">
        <v>0.1084</v>
      </c>
      <c r="AC67" s="257">
        <v>0.21490000000000001</v>
      </c>
    </row>
    <row r="68" spans="1:29" x14ac:dyDescent="0.25">
      <c r="A68" s="14"/>
      <c r="B68" s="15"/>
      <c r="C68" s="81"/>
      <c r="D68" s="81"/>
      <c r="E68" s="81"/>
      <c r="G68" s="16"/>
      <c r="I68" s="79"/>
      <c r="J68" s="79"/>
      <c r="K68" s="79"/>
      <c r="M68" s="100">
        <f t="shared" si="2"/>
        <v>6.1000000000000047E-2</v>
      </c>
      <c r="N68" s="255">
        <v>0.10699999999999996</v>
      </c>
      <c r="O68" s="256">
        <v>5.7599999999999998E-2</v>
      </c>
      <c r="P68" s="256">
        <v>0.1086</v>
      </c>
      <c r="Q68" s="256">
        <v>0.215</v>
      </c>
      <c r="S68" s="100">
        <f t="shared" si="3"/>
        <v>6.1000000000000047E-2</v>
      </c>
      <c r="T68" s="255">
        <v>0.10699999999999996</v>
      </c>
      <c r="U68" s="256">
        <v>6.7299999999999999E-2</v>
      </c>
      <c r="V68" s="256">
        <v>0.12690000000000001</v>
      </c>
      <c r="W68" s="8">
        <v>0.25069999999999998</v>
      </c>
      <c r="Y68" s="100">
        <f t="shared" si="4"/>
        <v>6.1000000000000047E-2</v>
      </c>
      <c r="Z68" s="255">
        <v>0.11099999999999993</v>
      </c>
      <c r="AA68" s="257">
        <v>5.8400000000000001E-2</v>
      </c>
      <c r="AB68" s="257">
        <v>0.11020000000000001</v>
      </c>
      <c r="AC68" s="257">
        <v>0.21840000000000001</v>
      </c>
    </row>
    <row r="69" spans="1:29" x14ac:dyDescent="0.25">
      <c r="A69" s="14"/>
      <c r="B69" s="15"/>
      <c r="C69" s="81"/>
      <c r="D69" s="81"/>
      <c r="E69" s="81"/>
      <c r="G69" s="16"/>
      <c r="I69" s="79"/>
      <c r="J69" s="79"/>
      <c r="K69" s="79"/>
      <c r="M69" s="100">
        <f t="shared" si="2"/>
        <v>6.2000000000000048E-2</v>
      </c>
      <c r="N69" s="255">
        <v>0.10599999999999996</v>
      </c>
      <c r="O69" s="256">
        <v>5.8599999999999999E-2</v>
      </c>
      <c r="P69" s="256">
        <v>0.1104</v>
      </c>
      <c r="Q69" s="256">
        <v>0.2185</v>
      </c>
      <c r="S69" s="100">
        <f t="shared" si="3"/>
        <v>6.2000000000000048E-2</v>
      </c>
      <c r="T69" s="255">
        <v>0.10599999999999996</v>
      </c>
      <c r="U69" s="256">
        <v>6.83E-2</v>
      </c>
      <c r="V69" s="256">
        <v>0.12870000000000001</v>
      </c>
      <c r="W69" s="8">
        <v>0.25419999999999998</v>
      </c>
      <c r="Y69" s="100">
        <f t="shared" si="4"/>
        <v>6.2000000000000048E-2</v>
      </c>
      <c r="Z69" s="255">
        <v>0.10999999999999993</v>
      </c>
      <c r="AA69" s="257">
        <v>5.9400000000000001E-2</v>
      </c>
      <c r="AB69" s="257">
        <v>0.112</v>
      </c>
      <c r="AC69" s="257">
        <v>0.2218</v>
      </c>
    </row>
    <row r="70" spans="1:29" x14ac:dyDescent="0.25">
      <c r="A70" s="14"/>
      <c r="B70" s="15"/>
      <c r="C70" s="81"/>
      <c r="D70" s="81"/>
      <c r="E70" s="81"/>
      <c r="G70" s="16"/>
      <c r="I70" s="79"/>
      <c r="J70" s="79"/>
      <c r="K70" s="79"/>
      <c r="M70" s="100">
        <f t="shared" si="2"/>
        <v>6.3000000000000042E-2</v>
      </c>
      <c r="N70" s="255">
        <v>0.10499999999999997</v>
      </c>
      <c r="O70" s="256">
        <v>5.9499999999999997E-2</v>
      </c>
      <c r="P70" s="256">
        <v>0.11219999999999999</v>
      </c>
      <c r="Q70" s="256">
        <v>0.22189999999999999</v>
      </c>
      <c r="S70" s="100">
        <f t="shared" si="3"/>
        <v>6.3000000000000042E-2</v>
      </c>
      <c r="T70" s="255">
        <v>0.10499999999999997</v>
      </c>
      <c r="U70" s="256">
        <v>6.93E-2</v>
      </c>
      <c r="V70" s="256">
        <v>0.13059999999999999</v>
      </c>
      <c r="W70" s="8">
        <v>0.25769999999999998</v>
      </c>
      <c r="Y70" s="100">
        <f t="shared" si="4"/>
        <v>6.3000000000000042E-2</v>
      </c>
      <c r="Z70" s="255">
        <v>0.10899999999999994</v>
      </c>
      <c r="AA70" s="257">
        <v>6.0400000000000002E-2</v>
      </c>
      <c r="AB70" s="257">
        <v>0.1138</v>
      </c>
      <c r="AC70" s="257">
        <v>0.2253</v>
      </c>
    </row>
    <row r="71" spans="1:29" x14ac:dyDescent="0.25">
      <c r="A71" s="14"/>
      <c r="B71" s="15"/>
      <c r="C71" s="81"/>
      <c r="D71" s="81"/>
      <c r="E71" s="81"/>
      <c r="G71" s="16"/>
      <c r="I71" s="79"/>
      <c r="J71" s="79"/>
      <c r="K71" s="79"/>
      <c r="M71" s="100">
        <f t="shared" si="2"/>
        <v>6.4000000000000043E-2</v>
      </c>
      <c r="N71" s="255">
        <v>0.10399999999999997</v>
      </c>
      <c r="O71" s="256">
        <v>6.0499999999999998E-2</v>
      </c>
      <c r="P71" s="256">
        <v>0.114</v>
      </c>
      <c r="Q71" s="256">
        <v>0.22539999999999999</v>
      </c>
      <c r="S71" s="100">
        <f t="shared" si="3"/>
        <v>6.4000000000000043E-2</v>
      </c>
      <c r="T71" s="255">
        <v>0.10399999999999997</v>
      </c>
      <c r="U71" s="256">
        <v>7.0300000000000001E-2</v>
      </c>
      <c r="V71" s="256">
        <v>0.13239999999999999</v>
      </c>
      <c r="W71" s="8">
        <v>0.2611</v>
      </c>
      <c r="Y71" s="100">
        <f t="shared" si="4"/>
        <v>6.4000000000000043E-2</v>
      </c>
      <c r="Z71" s="255">
        <v>0.10799999999999994</v>
      </c>
      <c r="AA71" s="257">
        <v>6.13E-2</v>
      </c>
      <c r="AB71" s="257">
        <v>0.11559999999999999</v>
      </c>
      <c r="AC71" s="257">
        <v>0.2288</v>
      </c>
    </row>
    <row r="72" spans="1:29" x14ac:dyDescent="0.25">
      <c r="A72" s="14"/>
      <c r="B72" s="15"/>
      <c r="C72" s="81"/>
      <c r="D72" s="81"/>
      <c r="E72" s="81"/>
      <c r="G72" s="16"/>
      <c r="I72" s="79"/>
      <c r="J72" s="79"/>
      <c r="K72" s="79"/>
      <c r="M72" s="100">
        <f t="shared" si="2"/>
        <v>6.5000000000000044E-2</v>
      </c>
      <c r="N72" s="255">
        <v>0.10299999999999997</v>
      </c>
      <c r="O72" s="256">
        <v>6.1499999999999999E-2</v>
      </c>
      <c r="P72" s="256">
        <v>0.1158</v>
      </c>
      <c r="Q72" s="256">
        <v>0.2288</v>
      </c>
      <c r="S72" s="100">
        <f t="shared" si="3"/>
        <v>6.5000000000000044E-2</v>
      </c>
      <c r="T72" s="255">
        <v>0.10299999999999997</v>
      </c>
      <c r="U72" s="256">
        <v>7.1199999999999999E-2</v>
      </c>
      <c r="V72" s="256">
        <v>0.13420000000000001</v>
      </c>
      <c r="W72" s="8">
        <v>0.2646</v>
      </c>
      <c r="Y72" s="100">
        <f t="shared" si="4"/>
        <v>6.5000000000000044E-2</v>
      </c>
      <c r="Z72" s="255">
        <v>0.10699999999999994</v>
      </c>
      <c r="AA72" s="257">
        <v>6.2300000000000001E-2</v>
      </c>
      <c r="AB72" s="257">
        <v>0.11749999999999999</v>
      </c>
      <c r="AC72" s="257">
        <v>0.23230000000000001</v>
      </c>
    </row>
    <row r="73" spans="1:29" x14ac:dyDescent="0.25">
      <c r="A73" s="14"/>
      <c r="B73" s="15"/>
      <c r="C73" s="81"/>
      <c r="D73" s="81"/>
      <c r="E73" s="81"/>
      <c r="G73" s="16"/>
      <c r="I73" s="79"/>
      <c r="J73" s="79"/>
      <c r="K73" s="79"/>
      <c r="M73" s="100">
        <f t="shared" si="2"/>
        <v>6.6000000000000045E-2</v>
      </c>
      <c r="N73" s="255">
        <v>0.10199999999999997</v>
      </c>
      <c r="O73" s="256">
        <v>6.2399999999999997E-2</v>
      </c>
      <c r="P73" s="256">
        <v>0.1176</v>
      </c>
      <c r="Q73" s="256">
        <v>0.23230000000000001</v>
      </c>
      <c r="S73" s="100">
        <f t="shared" si="3"/>
        <v>6.6000000000000045E-2</v>
      </c>
      <c r="T73" s="255">
        <v>0.10199999999999997</v>
      </c>
      <c r="U73" s="256">
        <v>7.22E-2</v>
      </c>
      <c r="V73" s="256">
        <v>0.13600000000000001</v>
      </c>
      <c r="W73" s="8">
        <v>0.26800000000000002</v>
      </c>
      <c r="Y73" s="100">
        <f t="shared" si="4"/>
        <v>6.6000000000000045E-2</v>
      </c>
      <c r="Z73" s="255">
        <v>0.10599999999999994</v>
      </c>
      <c r="AA73" s="257">
        <v>6.3299999999999995E-2</v>
      </c>
      <c r="AB73" s="257">
        <v>0.1193</v>
      </c>
      <c r="AC73" s="257">
        <v>0.23569999999999999</v>
      </c>
    </row>
    <row r="74" spans="1:29" x14ac:dyDescent="0.25">
      <c r="A74" s="14"/>
      <c r="B74" s="15"/>
      <c r="C74" s="81"/>
      <c r="D74" s="81"/>
      <c r="E74" s="81"/>
      <c r="G74" s="16"/>
      <c r="I74" s="79"/>
      <c r="J74" s="79"/>
      <c r="K74" s="79"/>
      <c r="M74" s="100">
        <f t="shared" ref="M74:M75" si="6">M73+0.1%</f>
        <v>6.7000000000000046E-2</v>
      </c>
      <c r="N74" s="255">
        <v>0.10099999999999996</v>
      </c>
      <c r="O74" s="256">
        <v>6.3399999999999998E-2</v>
      </c>
      <c r="P74" s="256">
        <v>0.11940000000000001</v>
      </c>
      <c r="Q74" s="256">
        <v>0.23569999999999999</v>
      </c>
      <c r="S74" s="100">
        <f t="shared" ref="S74:S75" si="7">S73+0.1%</f>
        <v>6.7000000000000046E-2</v>
      </c>
      <c r="T74" s="255">
        <v>0.10099999999999996</v>
      </c>
      <c r="U74" s="256">
        <v>7.3200000000000001E-2</v>
      </c>
      <c r="V74" s="256">
        <v>0.13780000000000001</v>
      </c>
      <c r="W74" s="8">
        <v>0.27139999999999997</v>
      </c>
      <c r="Y74" s="100">
        <f t="shared" ref="Y74:Y79" si="8">Y73+0.1%</f>
        <v>6.7000000000000046E-2</v>
      </c>
      <c r="Z74" s="255">
        <v>0.10499999999999994</v>
      </c>
      <c r="AA74" s="257">
        <v>6.4199999999999993E-2</v>
      </c>
      <c r="AB74" s="257">
        <v>0.1211</v>
      </c>
      <c r="AC74" s="257">
        <v>0.2392</v>
      </c>
    </row>
    <row r="75" spans="1:29" x14ac:dyDescent="0.25">
      <c r="A75" s="14"/>
      <c r="B75" s="15"/>
      <c r="C75" s="81"/>
      <c r="D75" s="81"/>
      <c r="E75" s="81"/>
      <c r="G75" s="16"/>
      <c r="I75" s="79"/>
      <c r="J75" s="79"/>
      <c r="K75" s="79"/>
      <c r="M75" s="100">
        <f t="shared" si="6"/>
        <v>6.8000000000000047E-2</v>
      </c>
      <c r="N75" s="255">
        <v>9.9999999999999964E-2</v>
      </c>
      <c r="O75" s="256">
        <v>6.4399999999999999E-2</v>
      </c>
      <c r="P75" s="256">
        <v>0.1212</v>
      </c>
      <c r="Q75" s="256">
        <v>0.23910000000000001</v>
      </c>
      <c r="S75" s="100">
        <f t="shared" si="7"/>
        <v>6.8000000000000047E-2</v>
      </c>
      <c r="T75" s="255">
        <v>9.9999999999999964E-2</v>
      </c>
      <c r="U75" s="256">
        <v>7.4200000000000002E-2</v>
      </c>
      <c r="V75" s="256">
        <v>0.1396</v>
      </c>
      <c r="W75" s="8">
        <v>0.27489999999999998</v>
      </c>
      <c r="Y75" s="100">
        <f t="shared" si="8"/>
        <v>6.8000000000000047E-2</v>
      </c>
      <c r="Z75" s="255">
        <v>0.10399999999999994</v>
      </c>
      <c r="AA75" s="257">
        <v>6.5199999999999994E-2</v>
      </c>
      <c r="AB75" s="257">
        <v>0.1229</v>
      </c>
      <c r="AC75" s="257">
        <v>0.2427</v>
      </c>
    </row>
    <row r="76" spans="1:29" x14ac:dyDescent="0.25">
      <c r="A76" s="14"/>
      <c r="B76" s="15"/>
      <c r="C76" s="81"/>
      <c r="D76" s="81"/>
      <c r="E76" s="81"/>
      <c r="G76" s="16"/>
      <c r="I76" s="79"/>
      <c r="J76" s="79"/>
      <c r="K76" s="79"/>
      <c r="M76" s="100"/>
      <c r="N76" s="7"/>
      <c r="O76" s="140"/>
      <c r="P76" s="140"/>
      <c r="Q76" s="140"/>
      <c r="S76" s="100"/>
      <c r="T76" s="7"/>
      <c r="U76" s="140"/>
      <c r="V76" s="140"/>
      <c r="W76" s="140"/>
      <c r="Y76" s="100">
        <f t="shared" si="8"/>
        <v>6.9000000000000047E-2</v>
      </c>
      <c r="Z76" s="255">
        <v>0.10299999999999994</v>
      </c>
      <c r="AA76" s="257">
        <v>6.6199999999999995E-2</v>
      </c>
      <c r="AB76" s="257">
        <v>0.12470000000000001</v>
      </c>
      <c r="AC76" s="257">
        <v>0.24610000000000001</v>
      </c>
    </row>
    <row r="77" spans="1:29" x14ac:dyDescent="0.25">
      <c r="A77" s="14"/>
      <c r="B77" s="15"/>
      <c r="C77" s="81"/>
      <c r="D77" s="81"/>
      <c r="E77" s="81"/>
      <c r="G77" s="16"/>
      <c r="I77" s="79"/>
      <c r="J77" s="79"/>
      <c r="K77" s="79"/>
      <c r="M77" s="100"/>
      <c r="N77" s="7"/>
      <c r="O77" s="140"/>
      <c r="P77" s="140"/>
      <c r="Q77" s="140"/>
      <c r="S77" s="100"/>
      <c r="T77" s="7"/>
      <c r="U77" s="140"/>
      <c r="V77" s="140"/>
      <c r="W77" s="140"/>
      <c r="Y77" s="100">
        <f t="shared" si="8"/>
        <v>7.0000000000000048E-2</v>
      </c>
      <c r="Z77" s="255">
        <v>0.10199999999999994</v>
      </c>
      <c r="AA77" s="257">
        <v>6.7199999999999996E-2</v>
      </c>
      <c r="AB77" s="257">
        <v>0.1265</v>
      </c>
      <c r="AC77" s="257">
        <v>0.2495</v>
      </c>
    </row>
    <row r="78" spans="1:29" x14ac:dyDescent="0.25">
      <c r="A78" s="14"/>
      <c r="B78" s="15"/>
      <c r="C78" s="81"/>
      <c r="D78" s="81"/>
      <c r="E78" s="81"/>
      <c r="G78" s="16"/>
      <c r="I78" s="79"/>
      <c r="J78" s="79"/>
      <c r="K78" s="79"/>
      <c r="M78" s="100"/>
      <c r="N78" s="7"/>
      <c r="O78" s="140"/>
      <c r="P78" s="140"/>
      <c r="Q78" s="140"/>
      <c r="S78" s="100"/>
      <c r="T78" s="7"/>
      <c r="U78" s="140"/>
      <c r="V78" s="140"/>
      <c r="W78" s="140"/>
      <c r="Y78" s="100">
        <f t="shared" si="8"/>
        <v>7.1000000000000049E-2</v>
      </c>
      <c r="Z78" s="255">
        <v>0.10099999999999994</v>
      </c>
      <c r="AA78" s="257">
        <v>6.8099999999999994E-2</v>
      </c>
      <c r="AB78" s="257">
        <v>0.1283</v>
      </c>
      <c r="AC78" s="257">
        <v>0.253</v>
      </c>
    </row>
    <row r="79" spans="1:29" x14ac:dyDescent="0.25">
      <c r="A79" s="14"/>
      <c r="B79" s="15"/>
      <c r="C79" s="81"/>
      <c r="D79" s="81"/>
      <c r="E79" s="81"/>
      <c r="G79" s="16"/>
      <c r="I79" s="79"/>
      <c r="J79" s="79"/>
      <c r="K79" s="79"/>
      <c r="M79" s="100"/>
      <c r="N79" s="7"/>
      <c r="O79" s="140"/>
      <c r="P79" s="140"/>
      <c r="Q79" s="140"/>
      <c r="S79" s="100"/>
      <c r="T79" s="7"/>
      <c r="U79" s="140"/>
      <c r="V79" s="140"/>
      <c r="W79" s="140"/>
      <c r="Y79" s="100">
        <f t="shared" si="8"/>
        <v>7.200000000000005E-2</v>
      </c>
      <c r="Z79" s="255">
        <v>9.9999999999999936E-2</v>
      </c>
      <c r="AA79" s="257">
        <v>6.9099999999999995E-2</v>
      </c>
      <c r="AB79" s="257">
        <v>0.13009999999999999</v>
      </c>
      <c r="AC79" s="257">
        <v>0.25640000000000002</v>
      </c>
    </row>
    <row r="80" spans="1:29" x14ac:dyDescent="0.25">
      <c r="A80" s="14"/>
      <c r="B80" s="15"/>
      <c r="C80" s="81"/>
      <c r="D80" s="81"/>
      <c r="E80" s="81"/>
      <c r="G80" s="16"/>
      <c r="I80" s="79"/>
      <c r="J80" s="79"/>
      <c r="K80" s="79"/>
      <c r="M80" s="100"/>
      <c r="N80" s="7"/>
      <c r="O80" s="140"/>
      <c r="P80" s="140"/>
      <c r="Q80" s="140"/>
      <c r="S80" s="100"/>
      <c r="T80" s="7"/>
      <c r="U80" s="140"/>
      <c r="V80" s="140"/>
      <c r="W80" s="140"/>
      <c r="Y80" s="100"/>
      <c r="Z80" s="150"/>
      <c r="AA80" s="7"/>
      <c r="AB80" s="144"/>
      <c r="AC80" s="144"/>
    </row>
    <row r="81" spans="1:29" x14ac:dyDescent="0.25">
      <c r="A81" s="14"/>
      <c r="B81" s="15"/>
      <c r="C81" s="81"/>
      <c r="D81" s="81"/>
      <c r="E81" s="81"/>
      <c r="G81" s="16"/>
      <c r="I81" s="79"/>
      <c r="J81" s="79"/>
      <c r="K81" s="79"/>
      <c r="M81" s="83"/>
      <c r="N81" s="84"/>
      <c r="O81" s="79"/>
      <c r="P81" s="79"/>
      <c r="Q81" s="79"/>
      <c r="S81" s="83"/>
      <c r="T81" s="84"/>
      <c r="U81" s="79"/>
      <c r="V81" s="79"/>
      <c r="W81" s="79"/>
      <c r="Y81" s="100"/>
      <c r="Z81" s="150"/>
      <c r="AA81" s="7"/>
      <c r="AB81" s="144"/>
      <c r="AC81" s="144"/>
    </row>
    <row r="82" spans="1:29" x14ac:dyDescent="0.25">
      <c r="A82" s="14"/>
      <c r="B82" s="15"/>
      <c r="C82" s="81"/>
      <c r="D82" s="81"/>
      <c r="E82" s="81"/>
      <c r="G82" s="16"/>
      <c r="I82" s="79"/>
      <c r="J82" s="79"/>
      <c r="K82" s="79"/>
      <c r="M82" s="83"/>
      <c r="N82" s="84"/>
      <c r="O82" s="79"/>
      <c r="P82" s="79"/>
      <c r="Q82" s="79"/>
      <c r="S82" s="83"/>
      <c r="T82" s="84"/>
      <c r="U82" s="79"/>
      <c r="V82" s="79"/>
      <c r="W82" s="79"/>
      <c r="Y82" s="100"/>
      <c r="Z82" s="150"/>
      <c r="AA82" s="7"/>
      <c r="AB82" s="144"/>
      <c r="AC82" s="144"/>
    </row>
    <row r="83" spans="1:29" x14ac:dyDescent="0.25">
      <c r="A83" s="14"/>
      <c r="B83" s="15"/>
      <c r="C83" s="81"/>
      <c r="D83" s="81"/>
      <c r="E83" s="81"/>
      <c r="G83" s="16"/>
      <c r="I83" s="79"/>
      <c r="J83" s="79"/>
      <c r="K83" s="79"/>
      <c r="M83" s="83"/>
      <c r="N83" s="84"/>
      <c r="O83" s="79"/>
      <c r="P83" s="79"/>
      <c r="Q83" s="79"/>
      <c r="S83" s="83"/>
      <c r="T83" s="84"/>
      <c r="U83" s="79"/>
      <c r="V83" s="79"/>
      <c r="W83" s="79"/>
      <c r="Y83" s="100"/>
      <c r="Z83" s="150"/>
      <c r="AA83" s="7"/>
      <c r="AB83" s="144"/>
      <c r="AC83" s="144"/>
    </row>
    <row r="84" spans="1:29" x14ac:dyDescent="0.25">
      <c r="A84" s="14"/>
      <c r="B84" s="15"/>
      <c r="C84" s="81"/>
      <c r="D84" s="81"/>
      <c r="E84" s="81"/>
      <c r="G84" s="16"/>
      <c r="I84" s="79"/>
      <c r="J84" s="79"/>
      <c r="K84" s="79"/>
      <c r="M84" s="83"/>
      <c r="N84" s="84"/>
      <c r="O84" s="79"/>
      <c r="P84" s="79"/>
      <c r="Q84" s="79"/>
      <c r="S84" s="83"/>
      <c r="T84" s="84"/>
      <c r="U84" s="79"/>
      <c r="V84" s="79"/>
      <c r="W84" s="79"/>
      <c r="Y84" s="100"/>
      <c r="Z84" s="150"/>
      <c r="AA84" s="7"/>
      <c r="AB84" s="144"/>
      <c r="AC84" s="144"/>
    </row>
    <row r="85" spans="1:29" x14ac:dyDescent="0.25">
      <c r="A85" s="14"/>
      <c r="B85" s="15"/>
      <c r="C85" s="81"/>
      <c r="D85" s="81"/>
      <c r="E85" s="81"/>
      <c r="G85" s="16"/>
      <c r="I85" s="79"/>
      <c r="J85" s="79"/>
      <c r="K85" s="79"/>
      <c r="M85" s="83"/>
      <c r="N85" s="84"/>
      <c r="O85" s="79"/>
      <c r="P85" s="79"/>
      <c r="Q85" s="79"/>
      <c r="S85" s="83"/>
      <c r="T85" s="84"/>
      <c r="U85" s="79"/>
      <c r="V85" s="79"/>
      <c r="W85" s="79"/>
      <c r="Y85" s="83"/>
      <c r="Z85" s="87"/>
      <c r="AA85" s="11"/>
      <c r="AB85" s="93"/>
      <c r="AC85" s="93"/>
    </row>
    <row r="86" spans="1:29" x14ac:dyDescent="0.25">
      <c r="A86" s="14"/>
      <c r="B86" s="15"/>
      <c r="C86" s="81"/>
      <c r="D86" s="81"/>
      <c r="E86" s="81"/>
      <c r="G86" s="16"/>
      <c r="I86" s="79"/>
      <c r="J86" s="79"/>
      <c r="K86" s="79"/>
      <c r="M86" s="83"/>
      <c r="N86" s="84"/>
      <c r="O86" s="79"/>
      <c r="P86" s="79"/>
      <c r="Q86" s="79"/>
      <c r="S86" s="83"/>
      <c r="T86" s="84"/>
      <c r="U86" s="79"/>
      <c r="V86" s="79"/>
      <c r="W86" s="79"/>
      <c r="Y86" s="83"/>
      <c r="Z86" s="87"/>
      <c r="AA86" s="11"/>
      <c r="AB86" s="93"/>
      <c r="AC86" s="93"/>
    </row>
    <row r="87" spans="1:29" x14ac:dyDescent="0.25">
      <c r="A87" s="14"/>
      <c r="B87" s="15"/>
      <c r="C87" s="81"/>
      <c r="D87" s="81"/>
      <c r="E87" s="81"/>
      <c r="G87" s="16"/>
      <c r="I87" s="79"/>
      <c r="J87" s="79"/>
      <c r="K87" s="79"/>
      <c r="M87" s="83"/>
      <c r="N87" s="84"/>
      <c r="O87" s="79"/>
      <c r="P87" s="79"/>
      <c r="Q87" s="79"/>
      <c r="S87" s="83"/>
      <c r="T87" s="84"/>
      <c r="U87" s="79"/>
      <c r="V87" s="79"/>
      <c r="W87" s="79"/>
      <c r="Y87" s="83"/>
      <c r="Z87" s="87"/>
      <c r="AA87" s="11"/>
      <c r="AB87" s="93"/>
      <c r="AC87" s="93"/>
    </row>
    <row r="88" spans="1:29" x14ac:dyDescent="0.25">
      <c r="A88" s="14"/>
      <c r="B88" s="15"/>
      <c r="C88" s="81"/>
      <c r="D88" s="81"/>
      <c r="E88" s="81"/>
      <c r="G88" s="16"/>
      <c r="M88" s="83"/>
      <c r="N88" s="84"/>
      <c r="O88" s="79"/>
      <c r="P88" s="79"/>
      <c r="Q88" s="79"/>
      <c r="S88" s="83"/>
      <c r="T88" s="84"/>
      <c r="U88" s="79"/>
      <c r="V88" s="79"/>
      <c r="W88" s="79"/>
      <c r="Y88" s="83"/>
      <c r="Z88" s="87"/>
      <c r="AA88" s="11"/>
      <c r="AB88" s="93"/>
      <c r="AC88" s="93"/>
    </row>
    <row r="89" spans="1:29" x14ac:dyDescent="0.25">
      <c r="A89" s="14"/>
      <c r="B89" s="15"/>
      <c r="C89" s="81"/>
      <c r="D89" s="81"/>
      <c r="E89" s="81"/>
      <c r="G89" s="16"/>
      <c r="M89" s="83"/>
      <c r="N89" s="84"/>
      <c r="O89" s="79"/>
      <c r="P89" s="79"/>
      <c r="Q89" s="79"/>
      <c r="S89" s="83"/>
      <c r="T89" s="84"/>
      <c r="U89" s="79"/>
      <c r="V89" s="79"/>
      <c r="W89" s="79"/>
      <c r="Y89" s="83"/>
      <c r="Z89" s="87"/>
      <c r="AA89" s="11"/>
      <c r="AB89" s="93"/>
      <c r="AC89" s="93"/>
    </row>
    <row r="90" spans="1:29" x14ac:dyDescent="0.25">
      <c r="A90" s="14"/>
      <c r="B90" s="15"/>
      <c r="C90" s="81"/>
      <c r="D90" s="81"/>
      <c r="E90" s="81"/>
      <c r="G90" s="16"/>
      <c r="M90" s="83"/>
      <c r="N90" s="84"/>
      <c r="O90" s="79"/>
      <c r="P90" s="79"/>
      <c r="Q90" s="79"/>
      <c r="S90" s="83"/>
      <c r="T90" s="84"/>
      <c r="U90" s="79"/>
      <c r="V90" s="79"/>
      <c r="W90" s="79"/>
      <c r="Y90" s="83"/>
      <c r="Z90" s="87"/>
      <c r="AA90" s="11"/>
      <c r="AB90" s="93"/>
      <c r="AC90" s="93"/>
    </row>
    <row r="91" spans="1:29" x14ac:dyDescent="0.25">
      <c r="A91" s="14"/>
      <c r="B91" s="15"/>
      <c r="C91" s="81"/>
      <c r="D91" s="81"/>
      <c r="E91" s="81"/>
      <c r="G91" s="16"/>
      <c r="M91" s="83"/>
      <c r="N91" s="84"/>
      <c r="O91" s="79"/>
      <c r="P91" s="79"/>
      <c r="Q91" s="79"/>
      <c r="S91" s="83"/>
      <c r="T91" s="84"/>
      <c r="U91" s="79"/>
      <c r="V91" s="79"/>
      <c r="W91" s="79"/>
      <c r="Y91" s="83"/>
      <c r="Z91" s="87"/>
      <c r="AA91" s="11"/>
      <c r="AB91" s="93"/>
      <c r="AC91" s="93"/>
    </row>
    <row r="92" spans="1:29" x14ac:dyDescent="0.25">
      <c r="A92" s="14"/>
      <c r="B92" s="15"/>
      <c r="G92" s="16"/>
      <c r="M92" s="83"/>
      <c r="N92" s="84"/>
      <c r="O92" s="79"/>
      <c r="P92" s="79"/>
      <c r="Q92" s="79"/>
      <c r="S92" s="83"/>
      <c r="T92" s="84"/>
      <c r="U92" s="79"/>
      <c r="V92" s="79"/>
      <c r="W92" s="79"/>
      <c r="Y92" s="83"/>
      <c r="Z92" s="87"/>
      <c r="AA92" s="11"/>
      <c r="AB92" s="93"/>
      <c r="AC92" s="93"/>
    </row>
    <row r="93" spans="1:29" x14ac:dyDescent="0.25">
      <c r="A93" s="14"/>
      <c r="B93" s="15"/>
      <c r="G93" s="16"/>
      <c r="M93" s="83"/>
      <c r="N93" s="84"/>
      <c r="O93" s="79"/>
      <c r="P93" s="79"/>
      <c r="Q93" s="79"/>
      <c r="S93" s="83"/>
      <c r="T93" s="84"/>
      <c r="U93" s="79"/>
      <c r="V93" s="79"/>
      <c r="W93" s="79"/>
      <c r="Y93" s="83"/>
      <c r="Z93" s="87"/>
      <c r="AA93" s="11"/>
      <c r="AB93" s="93"/>
      <c r="AC93" s="93"/>
    </row>
    <row r="94" spans="1:29" x14ac:dyDescent="0.25">
      <c r="A94" s="14"/>
      <c r="B94" s="15"/>
      <c r="G94" s="16"/>
      <c r="M94" s="83"/>
      <c r="N94" s="84"/>
      <c r="O94" s="79"/>
      <c r="P94" s="79"/>
      <c r="Q94" s="79"/>
      <c r="S94" s="83"/>
      <c r="T94" s="84"/>
      <c r="U94" s="79"/>
      <c r="V94" s="79"/>
      <c r="W94" s="79"/>
      <c r="Y94" s="83"/>
      <c r="Z94" s="87"/>
      <c r="AA94" s="11"/>
      <c r="AB94" s="93"/>
      <c r="AC94" s="93"/>
    </row>
    <row r="95" spans="1:29" x14ac:dyDescent="0.25">
      <c r="A95" s="14"/>
      <c r="B95" s="15"/>
      <c r="G95" s="16"/>
      <c r="M95" s="83"/>
      <c r="N95" s="84"/>
      <c r="O95" s="79"/>
      <c r="P95" s="79"/>
      <c r="Q95" s="79"/>
      <c r="S95" s="83"/>
      <c r="T95" s="84"/>
      <c r="U95" s="79"/>
      <c r="V95" s="79"/>
      <c r="W95" s="79"/>
      <c r="Y95" s="83"/>
      <c r="Z95" s="87"/>
      <c r="AA95" s="11"/>
      <c r="AB95" s="93"/>
      <c r="AC95" s="93"/>
    </row>
    <row r="96" spans="1:29" x14ac:dyDescent="0.25">
      <c r="A96" s="14"/>
      <c r="B96" s="15"/>
      <c r="G96" s="16"/>
      <c r="M96" s="83"/>
      <c r="N96" s="84"/>
      <c r="O96" s="79"/>
      <c r="P96" s="79"/>
      <c r="Q96" s="79"/>
      <c r="S96" s="83"/>
      <c r="T96" s="84"/>
      <c r="U96" s="79"/>
      <c r="V96" s="79"/>
      <c r="W96" s="79"/>
      <c r="Y96" s="83"/>
      <c r="Z96" s="87"/>
      <c r="AA96" s="11"/>
      <c r="AB96" s="93"/>
      <c r="AC96" s="93"/>
    </row>
    <row r="97" spans="1:29" x14ac:dyDescent="0.25">
      <c r="A97" s="14"/>
      <c r="B97" s="15"/>
      <c r="G97" s="16"/>
      <c r="M97" s="83"/>
      <c r="N97" s="84"/>
      <c r="O97" s="79"/>
      <c r="P97" s="79"/>
      <c r="Q97" s="79"/>
      <c r="S97" s="83"/>
      <c r="T97" s="84"/>
      <c r="U97" s="79"/>
      <c r="V97" s="79"/>
      <c r="W97" s="79"/>
      <c r="Y97" s="83"/>
      <c r="Z97" s="87"/>
      <c r="AA97" s="11"/>
      <c r="AB97" s="93"/>
      <c r="AC97" s="93"/>
    </row>
    <row r="98" spans="1:29" x14ac:dyDescent="0.25">
      <c r="A98" s="14"/>
      <c r="B98" s="15"/>
      <c r="G98" s="16"/>
      <c r="M98" s="83"/>
      <c r="N98" s="84"/>
      <c r="O98" s="79"/>
      <c r="P98" s="79"/>
      <c r="Q98" s="79"/>
      <c r="S98" s="83"/>
      <c r="T98" s="84"/>
      <c r="U98" s="79"/>
      <c r="V98" s="79"/>
      <c r="W98" s="79"/>
      <c r="Y98" s="83"/>
      <c r="Z98" s="87"/>
      <c r="AA98" s="11"/>
      <c r="AB98" s="93"/>
      <c r="AC98" s="93"/>
    </row>
    <row r="99" spans="1:29" x14ac:dyDescent="0.25">
      <c r="A99" s="14"/>
      <c r="B99" s="15"/>
      <c r="G99" s="16"/>
      <c r="M99" s="83"/>
      <c r="N99" s="84"/>
      <c r="O99" s="79"/>
      <c r="P99" s="79"/>
      <c r="Q99" s="79"/>
      <c r="S99" s="83"/>
      <c r="T99" s="84"/>
      <c r="U99" s="79"/>
      <c r="V99" s="79"/>
      <c r="W99" s="79"/>
      <c r="Y99" s="83"/>
      <c r="Z99" s="87"/>
      <c r="AA99" s="11"/>
      <c r="AB99" s="93"/>
      <c r="AC99" s="93"/>
    </row>
    <row r="100" spans="1:29" x14ac:dyDescent="0.25">
      <c r="A100" s="14"/>
      <c r="B100" s="15"/>
      <c r="G100" s="16"/>
      <c r="M100" s="83"/>
      <c r="N100" s="84"/>
      <c r="O100" s="79"/>
      <c r="P100" s="79"/>
      <c r="Q100" s="79"/>
      <c r="S100" s="83"/>
      <c r="T100" s="84"/>
      <c r="U100" s="79"/>
      <c r="V100" s="79"/>
      <c r="W100" s="79"/>
      <c r="Y100" s="83"/>
      <c r="Z100" s="87"/>
      <c r="AA100" s="11"/>
      <c r="AB100" s="93"/>
      <c r="AC100" s="93"/>
    </row>
    <row r="101" spans="1:29" x14ac:dyDescent="0.25">
      <c r="A101" s="14"/>
      <c r="B101" s="15"/>
      <c r="G101" s="16"/>
      <c r="M101" s="83"/>
      <c r="N101" s="84"/>
      <c r="O101" s="79"/>
      <c r="P101" s="79"/>
      <c r="Q101" s="79"/>
      <c r="S101" s="83"/>
      <c r="T101" s="84"/>
      <c r="U101" s="79"/>
      <c r="V101" s="79"/>
      <c r="W101" s="79"/>
      <c r="Y101" s="83"/>
      <c r="Z101" s="87"/>
      <c r="AA101" s="11"/>
      <c r="AB101" s="93"/>
      <c r="AC101" s="93"/>
    </row>
    <row r="102" spans="1:29" x14ac:dyDescent="0.25">
      <c r="A102" s="14"/>
      <c r="B102" s="15"/>
      <c r="G102" s="16"/>
      <c r="M102" s="83"/>
      <c r="N102" s="84"/>
      <c r="O102" s="79"/>
      <c r="P102" s="79"/>
      <c r="Q102" s="79"/>
      <c r="S102" s="83"/>
      <c r="T102" s="84"/>
      <c r="U102" s="81"/>
      <c r="V102" s="93"/>
      <c r="W102" s="93"/>
      <c r="Y102" s="83"/>
      <c r="Z102" s="87"/>
      <c r="AA102" s="11"/>
      <c r="AB102" s="93"/>
      <c r="AC102" s="96"/>
    </row>
    <row r="103" spans="1:29" x14ac:dyDescent="0.25">
      <c r="A103" s="14"/>
      <c r="B103" s="15"/>
      <c r="G103" s="16"/>
      <c r="M103" s="83"/>
      <c r="N103" s="84"/>
      <c r="O103" s="79"/>
      <c r="P103" s="79"/>
      <c r="Q103" s="79"/>
      <c r="S103" s="83"/>
      <c r="T103" s="84"/>
      <c r="U103" s="81"/>
      <c r="V103" s="93"/>
      <c r="W103" s="93"/>
      <c r="Y103" s="83"/>
      <c r="Z103" s="87"/>
      <c r="AA103" s="11"/>
      <c r="AB103" s="93"/>
      <c r="AC103" s="93"/>
    </row>
    <row r="104" spans="1:29" x14ac:dyDescent="0.25">
      <c r="A104" s="14"/>
      <c r="B104" s="15"/>
      <c r="G104" s="16"/>
      <c r="M104" s="83"/>
      <c r="N104" s="84"/>
      <c r="O104" s="79"/>
      <c r="P104" s="79"/>
      <c r="Q104" s="79"/>
      <c r="S104" s="83"/>
      <c r="T104" s="84"/>
      <c r="U104" s="81"/>
      <c r="V104" s="93"/>
      <c r="W104" s="93"/>
      <c r="Y104" s="83"/>
      <c r="Z104" s="87"/>
      <c r="AA104" s="11"/>
      <c r="AB104" s="93"/>
      <c r="AC104" s="93"/>
    </row>
    <row r="105" spans="1:29" x14ac:dyDescent="0.25">
      <c r="A105" s="14"/>
      <c r="B105" s="15"/>
      <c r="G105" s="16"/>
      <c r="M105" s="83"/>
      <c r="N105" s="84"/>
      <c r="O105" s="79"/>
      <c r="P105" s="79"/>
      <c r="Q105" s="79"/>
      <c r="S105" s="83"/>
      <c r="T105" s="84"/>
      <c r="U105" s="81"/>
      <c r="V105" s="93"/>
      <c r="W105" s="93"/>
      <c r="Y105" s="83"/>
      <c r="Z105" s="87"/>
      <c r="AA105" s="11"/>
      <c r="AB105" s="93"/>
      <c r="AC105" s="93"/>
    </row>
    <row r="106" spans="1:29" x14ac:dyDescent="0.25">
      <c r="A106" s="14"/>
      <c r="B106" s="15"/>
      <c r="G106" s="16"/>
      <c r="M106" s="83"/>
      <c r="N106" s="84"/>
      <c r="O106" s="79"/>
      <c r="P106" s="79"/>
      <c r="Q106" s="79"/>
      <c r="S106" s="83"/>
      <c r="T106" s="84"/>
      <c r="U106" s="81"/>
      <c r="V106" s="93"/>
      <c r="W106" s="93"/>
      <c r="Y106" s="83"/>
      <c r="Z106" s="87"/>
      <c r="AA106" s="17"/>
      <c r="AB106" s="93"/>
      <c r="AC106" s="93"/>
    </row>
    <row r="107" spans="1:29" x14ac:dyDescent="0.25">
      <c r="A107" s="14"/>
      <c r="B107" s="15"/>
      <c r="G107" s="16"/>
      <c r="M107" s="83"/>
      <c r="N107" s="84"/>
      <c r="O107" s="79"/>
      <c r="P107" s="79"/>
      <c r="Q107" s="79"/>
      <c r="S107" s="83"/>
      <c r="T107" s="84"/>
      <c r="U107" s="81"/>
      <c r="V107" s="93"/>
      <c r="W107" s="93"/>
      <c r="Y107" s="10"/>
      <c r="Z107" s="17"/>
      <c r="AA107" s="17"/>
    </row>
    <row r="108" spans="1:29" x14ac:dyDescent="0.25">
      <c r="A108" s="14"/>
      <c r="B108" s="15"/>
      <c r="G108" s="16"/>
      <c r="M108" s="83"/>
      <c r="N108" s="84"/>
      <c r="O108" s="79"/>
      <c r="P108" s="79"/>
      <c r="Q108" s="79"/>
      <c r="S108" s="83"/>
      <c r="T108" s="84"/>
      <c r="U108" s="81"/>
      <c r="V108" s="93"/>
      <c r="W108" s="93"/>
      <c r="Y108" s="10"/>
      <c r="Z108" s="17"/>
      <c r="AA108" s="17"/>
    </row>
    <row r="109" spans="1:29" x14ac:dyDescent="0.25">
      <c r="A109" s="14"/>
      <c r="B109" s="15"/>
      <c r="G109" s="16"/>
      <c r="M109" s="83"/>
      <c r="N109" s="84"/>
      <c r="O109" s="79"/>
      <c r="P109" s="79"/>
      <c r="Q109" s="79"/>
      <c r="S109" s="83"/>
      <c r="T109" s="84"/>
      <c r="U109" s="81"/>
      <c r="V109" s="93"/>
      <c r="W109" s="93"/>
      <c r="Y109" s="10"/>
      <c r="Z109" s="17"/>
      <c r="AA109" s="17"/>
    </row>
    <row r="110" spans="1:29" x14ac:dyDescent="0.25">
      <c r="A110" s="14"/>
      <c r="B110" s="15"/>
      <c r="G110" s="16"/>
      <c r="M110" s="83"/>
      <c r="N110" s="84"/>
      <c r="O110" s="79"/>
      <c r="P110" s="79"/>
      <c r="Q110" s="79"/>
      <c r="S110" s="83"/>
      <c r="T110" s="84"/>
      <c r="U110" s="81"/>
      <c r="V110" s="93"/>
      <c r="W110" s="93"/>
      <c r="Y110" s="10"/>
      <c r="Z110" s="17"/>
      <c r="AA110" s="17"/>
    </row>
    <row r="111" spans="1:29" x14ac:dyDescent="0.25">
      <c r="A111" s="14"/>
      <c r="B111" s="15"/>
      <c r="G111" s="16"/>
      <c r="M111" s="83"/>
      <c r="N111" s="84"/>
      <c r="O111" s="79"/>
      <c r="P111" s="79"/>
      <c r="Q111" s="79"/>
      <c r="S111" s="83"/>
      <c r="T111" s="84"/>
      <c r="U111" s="81"/>
      <c r="V111" s="93"/>
      <c r="W111" s="93"/>
      <c r="Y111" s="10"/>
      <c r="Z111" s="17"/>
      <c r="AA111" s="17"/>
    </row>
    <row r="112" spans="1:29" x14ac:dyDescent="0.25">
      <c r="A112" s="14"/>
      <c r="B112" s="15"/>
      <c r="G112" s="16"/>
      <c r="M112" s="83"/>
      <c r="N112" s="84"/>
      <c r="O112" s="79"/>
      <c r="P112" s="79"/>
      <c r="Q112" s="79"/>
      <c r="S112" s="83"/>
      <c r="T112" s="84"/>
      <c r="U112" s="81"/>
      <c r="V112" s="93"/>
      <c r="W112" s="93"/>
      <c r="Y112" s="10"/>
      <c r="Z112" s="17"/>
      <c r="AA112" s="17"/>
    </row>
    <row r="113" spans="1:27" x14ac:dyDescent="0.25">
      <c r="A113" s="14"/>
      <c r="B113" s="15"/>
      <c r="G113" s="16"/>
      <c r="M113" s="83"/>
      <c r="N113" s="84"/>
      <c r="O113" s="79"/>
      <c r="P113" s="79"/>
      <c r="Q113" s="79"/>
      <c r="S113" s="83"/>
      <c r="T113" s="84"/>
      <c r="U113" s="81"/>
      <c r="V113" s="93"/>
      <c r="W113" s="93"/>
      <c r="Y113" s="10"/>
      <c r="Z113" s="17"/>
      <c r="AA113" s="17"/>
    </row>
    <row r="114" spans="1:27" x14ac:dyDescent="0.25">
      <c r="A114" s="14"/>
      <c r="B114" s="15"/>
      <c r="G114" s="16"/>
      <c r="M114" s="83"/>
      <c r="N114" s="84"/>
      <c r="O114" s="79"/>
      <c r="P114" s="79"/>
      <c r="Q114" s="79"/>
      <c r="S114" s="83"/>
      <c r="T114" s="84"/>
      <c r="U114" s="81"/>
      <c r="V114" s="93"/>
      <c r="W114" s="93"/>
      <c r="Y114" s="10"/>
      <c r="Z114" s="17"/>
      <c r="AA114" s="17"/>
    </row>
    <row r="115" spans="1:27" x14ac:dyDescent="0.25">
      <c r="A115" s="14"/>
      <c r="B115" s="15"/>
      <c r="G115" s="16"/>
      <c r="M115" s="83"/>
      <c r="N115" s="84"/>
      <c r="O115" s="79"/>
      <c r="P115" s="79"/>
      <c r="Q115" s="79"/>
      <c r="S115" s="83"/>
      <c r="T115" s="84"/>
      <c r="U115" s="81"/>
      <c r="V115" s="93"/>
      <c r="W115" s="93"/>
      <c r="Y115" s="10"/>
      <c r="Z115" s="17"/>
      <c r="AA115" s="17"/>
    </row>
    <row r="116" spans="1:27" x14ac:dyDescent="0.25">
      <c r="A116" s="14"/>
      <c r="B116" s="15"/>
      <c r="G116" s="16"/>
      <c r="M116" s="83"/>
      <c r="N116" s="84"/>
      <c r="O116" s="79"/>
      <c r="P116" s="79"/>
      <c r="Q116" s="79"/>
      <c r="S116" s="83"/>
      <c r="T116" s="84"/>
      <c r="U116" s="81"/>
      <c r="V116" s="93"/>
      <c r="W116" s="93"/>
      <c r="Y116" s="10"/>
      <c r="Z116" s="17"/>
      <c r="AA116" s="17"/>
    </row>
    <row r="117" spans="1:27" x14ac:dyDescent="0.25">
      <c r="A117" s="14"/>
      <c r="B117" s="14"/>
      <c r="G117" s="16"/>
      <c r="M117" s="83"/>
      <c r="N117" s="84"/>
      <c r="O117" s="79"/>
      <c r="P117" s="79"/>
      <c r="Q117" s="79"/>
      <c r="S117" s="83"/>
      <c r="T117" s="84"/>
      <c r="U117" s="81"/>
      <c r="V117" s="93"/>
      <c r="W117" s="93"/>
      <c r="Y117" s="10"/>
      <c r="Z117" s="17"/>
      <c r="AA117" s="17"/>
    </row>
    <row r="118" spans="1:27" x14ac:dyDescent="0.25">
      <c r="A118" s="14"/>
      <c r="B118" s="14"/>
      <c r="G118" s="16"/>
      <c r="M118" s="83"/>
      <c r="N118" s="84"/>
      <c r="O118" s="79"/>
      <c r="P118" s="79"/>
      <c r="Q118" s="79"/>
      <c r="S118" s="83"/>
      <c r="T118" s="84"/>
      <c r="U118" s="81"/>
      <c r="V118" s="93"/>
      <c r="W118" s="93"/>
      <c r="Y118" s="10"/>
      <c r="Z118" s="17"/>
      <c r="AA118" s="17"/>
    </row>
    <row r="119" spans="1:27" x14ac:dyDescent="0.25">
      <c r="A119" s="14"/>
      <c r="B119" s="14"/>
      <c r="G119" s="16"/>
      <c r="M119" s="83"/>
      <c r="N119" s="84"/>
      <c r="O119" s="81"/>
      <c r="P119" s="93"/>
      <c r="Q119" s="93"/>
      <c r="S119" s="83"/>
      <c r="T119" s="84"/>
      <c r="U119" s="81"/>
      <c r="V119" s="93"/>
      <c r="W119" s="93"/>
      <c r="Y119" s="10"/>
      <c r="Z119" s="17"/>
      <c r="AA119" s="17"/>
    </row>
    <row r="120" spans="1:27" x14ac:dyDescent="0.25">
      <c r="A120" s="14"/>
      <c r="B120" s="14"/>
      <c r="G120" s="16"/>
      <c r="M120" s="83"/>
      <c r="N120" s="84"/>
      <c r="O120" s="81"/>
      <c r="P120" s="93"/>
      <c r="Q120" s="93"/>
      <c r="S120" s="83"/>
      <c r="T120" s="84"/>
      <c r="U120" s="81"/>
      <c r="V120" s="93"/>
      <c r="W120" s="93"/>
      <c r="Y120" s="10"/>
      <c r="Z120" s="17"/>
      <c r="AA120" s="17"/>
    </row>
    <row r="121" spans="1:27" x14ac:dyDescent="0.25">
      <c r="A121" s="14"/>
      <c r="B121" s="14"/>
      <c r="G121" s="16"/>
      <c r="M121" s="83"/>
      <c r="N121" s="84"/>
      <c r="O121" s="81"/>
      <c r="P121" s="93"/>
      <c r="Q121" s="93"/>
      <c r="S121" s="83"/>
      <c r="T121" s="84"/>
      <c r="U121" s="81"/>
      <c r="V121" s="93"/>
      <c r="W121" s="93"/>
      <c r="Y121" s="10"/>
      <c r="Z121" s="17"/>
      <c r="AA121" s="17"/>
    </row>
    <row r="122" spans="1:27" x14ac:dyDescent="0.25">
      <c r="A122" s="14"/>
      <c r="B122" s="14"/>
      <c r="G122" s="16"/>
      <c r="M122" s="83"/>
      <c r="N122" s="84"/>
      <c r="O122" s="81"/>
      <c r="P122" s="93"/>
      <c r="Q122" s="93"/>
      <c r="S122" s="83"/>
      <c r="T122" s="84"/>
      <c r="U122" s="81"/>
      <c r="V122" s="93"/>
      <c r="W122" s="93"/>
      <c r="Y122" s="10"/>
      <c r="Z122" s="17"/>
      <c r="AA122" s="17"/>
    </row>
    <row r="123" spans="1:27" x14ac:dyDescent="0.25">
      <c r="A123" s="14"/>
      <c r="B123" s="14"/>
      <c r="G123" s="16"/>
      <c r="M123" s="83"/>
      <c r="N123" s="84"/>
      <c r="O123" s="81"/>
      <c r="P123" s="93"/>
      <c r="Q123" s="93"/>
      <c r="S123" s="83"/>
      <c r="T123" s="84"/>
      <c r="U123" s="81"/>
      <c r="V123" s="93"/>
      <c r="W123" s="93"/>
      <c r="Y123" s="10"/>
      <c r="Z123" s="17"/>
      <c r="AA123" s="17"/>
    </row>
    <row r="124" spans="1:27" x14ac:dyDescent="0.25">
      <c r="A124" s="14"/>
      <c r="B124" s="14"/>
      <c r="G124" s="16"/>
      <c r="M124" s="83"/>
      <c r="N124" s="84"/>
      <c r="O124" s="81"/>
      <c r="P124" s="93"/>
      <c r="Q124" s="93"/>
      <c r="S124" s="83"/>
      <c r="T124" s="84"/>
      <c r="U124" s="81"/>
      <c r="V124" s="93"/>
      <c r="W124" s="93"/>
      <c r="Y124" s="10"/>
      <c r="Z124" s="17"/>
      <c r="AA124" s="17"/>
    </row>
    <row r="125" spans="1:27" x14ac:dyDescent="0.25">
      <c r="A125" s="14"/>
      <c r="B125" s="14"/>
      <c r="G125" s="16"/>
      <c r="M125" s="83"/>
      <c r="N125" s="84"/>
      <c r="O125" s="81"/>
      <c r="P125" s="93"/>
      <c r="Q125" s="93"/>
      <c r="S125" s="83"/>
      <c r="T125" s="84"/>
      <c r="U125" s="81"/>
      <c r="V125" s="93"/>
      <c r="W125" s="93"/>
      <c r="Y125" s="10"/>
      <c r="Z125" s="17"/>
      <c r="AA125" s="17"/>
    </row>
    <row r="126" spans="1:27" x14ac:dyDescent="0.25">
      <c r="A126" s="14"/>
      <c r="B126" s="14"/>
      <c r="G126" s="16"/>
      <c r="M126" s="83"/>
      <c r="N126" s="84"/>
      <c r="O126" s="81"/>
      <c r="P126" s="93"/>
      <c r="Q126" s="93"/>
      <c r="S126" s="83"/>
      <c r="T126" s="84"/>
      <c r="U126" s="81"/>
      <c r="V126" s="93"/>
      <c r="W126" s="93"/>
      <c r="Y126" s="10"/>
      <c r="Z126" s="17"/>
      <c r="AA126" s="17"/>
    </row>
    <row r="127" spans="1:27" x14ac:dyDescent="0.25">
      <c r="A127" s="14"/>
      <c r="B127" s="14"/>
      <c r="G127" s="16"/>
      <c r="M127" s="83"/>
      <c r="N127" s="84"/>
      <c r="O127" s="81"/>
      <c r="P127" s="93"/>
      <c r="Q127" s="93"/>
      <c r="S127" s="83"/>
      <c r="T127" s="84"/>
      <c r="U127" s="81"/>
      <c r="V127" s="93"/>
      <c r="W127" s="93"/>
      <c r="Y127" s="10"/>
      <c r="Z127" s="17"/>
      <c r="AA127" s="17"/>
    </row>
    <row r="128" spans="1:27" x14ac:dyDescent="0.25">
      <c r="A128" s="14"/>
      <c r="B128" s="14"/>
      <c r="G128" s="16"/>
      <c r="M128" s="83"/>
      <c r="N128" s="84"/>
      <c r="O128" s="81"/>
      <c r="P128" s="93"/>
      <c r="Q128" s="93"/>
      <c r="S128" s="83"/>
      <c r="T128" s="84"/>
      <c r="U128" s="81"/>
      <c r="V128" s="93"/>
      <c r="W128" s="93"/>
      <c r="Y128" s="10"/>
      <c r="Z128" s="17"/>
      <c r="AA128" s="17"/>
    </row>
    <row r="129" spans="1:27" x14ac:dyDescent="0.25">
      <c r="A129" s="14"/>
      <c r="B129" s="14"/>
      <c r="G129" s="16"/>
      <c r="M129" s="83"/>
      <c r="N129" s="84"/>
      <c r="O129" s="81"/>
      <c r="P129" s="93"/>
      <c r="Q129" s="93"/>
      <c r="S129" s="83"/>
      <c r="T129" s="84"/>
      <c r="U129" s="81"/>
      <c r="V129" s="93"/>
      <c r="W129" s="93"/>
      <c r="Y129" s="10"/>
      <c r="Z129" s="17"/>
      <c r="AA129" s="17"/>
    </row>
    <row r="130" spans="1:27" x14ac:dyDescent="0.25">
      <c r="A130" s="14"/>
      <c r="B130" s="14"/>
      <c r="G130" s="16"/>
      <c r="M130" s="83"/>
      <c r="N130" s="84"/>
      <c r="O130" s="81"/>
      <c r="P130" s="93"/>
      <c r="Q130" s="93"/>
      <c r="S130" s="83"/>
      <c r="T130" s="84"/>
      <c r="U130" s="81"/>
      <c r="V130" s="93"/>
      <c r="W130" s="93"/>
      <c r="Y130" s="10"/>
      <c r="Z130" s="17"/>
      <c r="AA130" s="17"/>
    </row>
    <row r="131" spans="1:27" x14ac:dyDescent="0.25">
      <c r="A131" s="14"/>
      <c r="B131" s="14"/>
      <c r="G131" s="16"/>
      <c r="M131" s="83"/>
      <c r="N131" s="84"/>
      <c r="O131" s="81"/>
      <c r="P131" s="93"/>
      <c r="Q131" s="93"/>
      <c r="S131" s="83"/>
      <c r="T131" s="84"/>
      <c r="U131" s="81"/>
      <c r="V131" s="93"/>
      <c r="W131" s="93"/>
      <c r="Y131" s="10"/>
      <c r="Z131" s="17"/>
      <c r="AA131" s="17"/>
    </row>
    <row r="132" spans="1:27" x14ac:dyDescent="0.25">
      <c r="A132" s="14"/>
      <c r="B132" s="14"/>
      <c r="G132" s="16"/>
      <c r="M132" s="83"/>
      <c r="N132" s="84"/>
      <c r="O132" s="81"/>
      <c r="P132" s="93"/>
      <c r="Q132" s="93"/>
      <c r="S132" s="83"/>
      <c r="T132" s="84"/>
      <c r="U132" s="81"/>
      <c r="V132" s="93"/>
      <c r="W132" s="93"/>
      <c r="Y132" s="10"/>
      <c r="Z132" s="17"/>
      <c r="AA132" s="17"/>
    </row>
    <row r="133" spans="1:27" x14ac:dyDescent="0.25">
      <c r="A133" s="14"/>
      <c r="B133" s="14"/>
      <c r="G133" s="16"/>
      <c r="M133" s="83"/>
      <c r="N133" s="84"/>
      <c r="O133" s="81"/>
      <c r="P133" s="93"/>
      <c r="Q133" s="93"/>
      <c r="S133" s="83"/>
      <c r="T133" s="84"/>
      <c r="U133" s="81"/>
      <c r="V133" s="93"/>
      <c r="W133" s="93"/>
      <c r="Y133" s="10"/>
      <c r="Z133" s="17"/>
      <c r="AA133" s="17"/>
    </row>
    <row r="134" spans="1:27" x14ac:dyDescent="0.25">
      <c r="A134" s="14"/>
      <c r="B134" s="14"/>
      <c r="G134" s="16"/>
      <c r="M134" s="83"/>
      <c r="N134" s="84"/>
      <c r="O134" s="81"/>
      <c r="P134" s="93"/>
      <c r="Q134" s="93"/>
      <c r="S134" s="83"/>
      <c r="T134" s="84"/>
      <c r="U134" s="81"/>
      <c r="V134" s="93"/>
      <c r="W134" s="93"/>
      <c r="Y134" s="10"/>
      <c r="Z134" s="17"/>
      <c r="AA134" s="17"/>
    </row>
    <row r="135" spans="1:27" x14ac:dyDescent="0.25">
      <c r="A135" s="14"/>
      <c r="B135" s="14"/>
      <c r="G135" s="16"/>
      <c r="M135" s="83"/>
      <c r="N135" s="84"/>
      <c r="O135" s="81"/>
      <c r="P135" s="93"/>
      <c r="Q135" s="93"/>
      <c r="S135" s="83"/>
      <c r="T135" s="84"/>
      <c r="U135" s="81"/>
      <c r="V135" s="93"/>
      <c r="W135" s="93"/>
      <c r="Y135" s="10"/>
      <c r="Z135" s="17"/>
      <c r="AA135" s="17"/>
    </row>
    <row r="136" spans="1:27" x14ac:dyDescent="0.25">
      <c r="A136" s="14"/>
      <c r="B136" s="14"/>
      <c r="G136" s="16"/>
      <c r="M136" s="83"/>
      <c r="N136" s="84"/>
      <c r="O136" s="81"/>
      <c r="P136" s="93"/>
      <c r="Q136" s="93"/>
      <c r="S136" s="83"/>
      <c r="T136" s="84"/>
      <c r="U136" s="81"/>
      <c r="V136" s="93"/>
      <c r="W136" s="93"/>
      <c r="Y136" s="10"/>
      <c r="Z136" s="17"/>
      <c r="AA136" s="17"/>
    </row>
    <row r="137" spans="1:27" x14ac:dyDescent="0.25">
      <c r="A137" s="14"/>
      <c r="B137" s="14"/>
      <c r="G137" s="16"/>
      <c r="M137" s="83"/>
      <c r="N137" s="84"/>
      <c r="O137" s="81"/>
      <c r="P137" s="93"/>
      <c r="Q137" s="93"/>
      <c r="S137" s="83"/>
      <c r="T137" s="84"/>
      <c r="U137" s="81"/>
      <c r="V137" s="93"/>
      <c r="W137" s="93"/>
      <c r="Y137" s="10"/>
      <c r="Z137" s="17"/>
      <c r="AA137" s="17"/>
    </row>
    <row r="138" spans="1:27" x14ac:dyDescent="0.25">
      <c r="A138" s="14"/>
      <c r="B138" s="14"/>
      <c r="G138" s="16"/>
      <c r="M138" s="83"/>
      <c r="N138" s="84"/>
      <c r="O138" s="81"/>
      <c r="P138" s="93"/>
      <c r="Q138" s="93"/>
      <c r="S138" s="83"/>
      <c r="T138" s="84"/>
      <c r="U138" s="81"/>
      <c r="V138" s="93"/>
      <c r="W138" s="93"/>
      <c r="Y138" s="10"/>
      <c r="Z138" s="17"/>
      <c r="AA138" s="17"/>
    </row>
    <row r="139" spans="1:27" x14ac:dyDescent="0.25">
      <c r="A139" s="14"/>
      <c r="B139" s="14"/>
      <c r="G139" s="16"/>
      <c r="M139" s="83"/>
      <c r="N139" s="84"/>
      <c r="O139" s="81"/>
      <c r="P139" s="93"/>
      <c r="Q139" s="93"/>
      <c r="S139" s="83"/>
      <c r="T139" s="84"/>
      <c r="U139" s="81"/>
      <c r="V139" s="93"/>
      <c r="W139" s="93"/>
      <c r="Y139" s="10"/>
      <c r="Z139" s="17"/>
      <c r="AA139" s="17"/>
    </row>
    <row r="140" spans="1:27" x14ac:dyDescent="0.25">
      <c r="A140" s="14"/>
      <c r="B140" s="14"/>
      <c r="G140" s="16"/>
      <c r="M140" s="83"/>
      <c r="N140" s="84"/>
      <c r="O140" s="81"/>
      <c r="P140" s="93"/>
      <c r="Q140" s="93"/>
      <c r="S140" s="83"/>
      <c r="T140" s="84"/>
      <c r="U140" s="81"/>
      <c r="V140" s="93"/>
      <c r="W140" s="93"/>
      <c r="Y140" s="10"/>
      <c r="Z140" s="17"/>
      <c r="AA140" s="17"/>
    </row>
    <row r="141" spans="1:27" x14ac:dyDescent="0.25">
      <c r="A141" s="14"/>
      <c r="B141" s="14"/>
      <c r="G141" s="16"/>
      <c r="M141" s="83"/>
      <c r="N141" s="84"/>
      <c r="O141" s="81"/>
      <c r="P141" s="93"/>
      <c r="Q141" s="93"/>
      <c r="S141" s="83"/>
      <c r="T141" s="84"/>
      <c r="U141" s="81"/>
      <c r="V141" s="93"/>
      <c r="W141" s="93"/>
      <c r="Y141" s="10"/>
      <c r="Z141" s="17"/>
      <c r="AA141" s="17"/>
    </row>
    <row r="142" spans="1:27" x14ac:dyDescent="0.25">
      <c r="A142" s="14"/>
      <c r="B142" s="14"/>
      <c r="G142" s="16"/>
      <c r="M142" s="83"/>
      <c r="N142" s="84"/>
      <c r="O142" s="81"/>
      <c r="P142" s="93"/>
      <c r="Q142" s="93"/>
      <c r="S142" s="83"/>
      <c r="T142" s="84"/>
      <c r="U142" s="81"/>
      <c r="V142" s="93"/>
      <c r="W142" s="93"/>
      <c r="Y142" s="10"/>
      <c r="Z142" s="17"/>
      <c r="AA142" s="17"/>
    </row>
    <row r="143" spans="1:27" x14ac:dyDescent="0.25">
      <c r="A143" s="14"/>
      <c r="B143" s="14"/>
      <c r="G143" s="16"/>
      <c r="M143" s="83"/>
      <c r="N143" s="84"/>
      <c r="O143" s="81"/>
      <c r="P143" s="93"/>
      <c r="Q143" s="93"/>
      <c r="S143" s="83"/>
      <c r="T143" s="84"/>
      <c r="U143" s="81"/>
      <c r="V143" s="93"/>
      <c r="W143" s="93"/>
      <c r="Y143" s="10"/>
      <c r="Z143" s="17"/>
      <c r="AA143" s="17"/>
    </row>
    <row r="144" spans="1:27" x14ac:dyDescent="0.25">
      <c r="A144" s="14"/>
      <c r="B144" s="14"/>
      <c r="G144" s="16"/>
      <c r="M144" s="83"/>
      <c r="N144" s="84"/>
      <c r="O144" s="81"/>
      <c r="P144" s="93"/>
      <c r="Q144" s="93"/>
      <c r="S144" s="83"/>
      <c r="T144" s="84"/>
      <c r="U144" s="81"/>
      <c r="V144" s="93"/>
      <c r="W144" s="93"/>
      <c r="Y144" s="10"/>
      <c r="Z144" s="17"/>
      <c r="AA144" s="17"/>
    </row>
    <row r="145" spans="1:27" x14ac:dyDescent="0.25">
      <c r="A145" s="14"/>
      <c r="B145" s="14"/>
      <c r="G145" s="16"/>
      <c r="M145" s="83"/>
      <c r="N145" s="84"/>
      <c r="O145" s="81"/>
      <c r="P145" s="93"/>
      <c r="Q145" s="93"/>
      <c r="S145" s="83"/>
      <c r="T145" s="84"/>
      <c r="U145" s="81"/>
      <c r="V145" s="93"/>
      <c r="W145" s="93"/>
      <c r="Y145" s="10"/>
      <c r="Z145" s="17"/>
      <c r="AA145" s="17"/>
    </row>
    <row r="146" spans="1:27" x14ac:dyDescent="0.25">
      <c r="A146" s="14"/>
      <c r="B146" s="14"/>
      <c r="G146" s="15"/>
      <c r="M146" s="83"/>
      <c r="N146" s="84"/>
      <c r="O146" s="81"/>
      <c r="P146" s="93"/>
      <c r="Q146" s="93"/>
      <c r="S146" s="83"/>
      <c r="T146" s="84"/>
      <c r="U146" s="81"/>
      <c r="V146" s="93"/>
      <c r="W146" s="93"/>
      <c r="Y146" s="10"/>
      <c r="Z146" s="17"/>
      <c r="AA146" s="17"/>
    </row>
    <row r="147" spans="1:27" x14ac:dyDescent="0.25">
      <c r="A147" s="14"/>
      <c r="B147" s="14"/>
      <c r="G147" s="15"/>
      <c r="M147" s="83"/>
      <c r="N147" s="84"/>
      <c r="O147" s="81"/>
      <c r="P147" s="93"/>
      <c r="Q147" s="93"/>
      <c r="S147" s="83"/>
      <c r="T147" s="84"/>
      <c r="U147" s="81"/>
      <c r="V147" s="93"/>
      <c r="W147" s="93"/>
      <c r="Y147" s="10"/>
      <c r="Z147" s="17"/>
      <c r="AA147" s="17"/>
    </row>
    <row r="148" spans="1:27" x14ac:dyDescent="0.25">
      <c r="A148" s="14"/>
      <c r="B148" s="14"/>
      <c r="G148" s="15"/>
      <c r="M148" s="83"/>
      <c r="N148" s="84"/>
      <c r="O148" s="81"/>
      <c r="P148" s="93"/>
      <c r="Q148" s="93"/>
      <c r="S148" s="83"/>
      <c r="T148" s="84"/>
      <c r="U148" s="81"/>
      <c r="V148" s="93"/>
      <c r="W148" s="93"/>
      <c r="Y148" s="10"/>
      <c r="Z148" s="17"/>
      <c r="AA148" s="17"/>
    </row>
    <row r="149" spans="1:27" x14ac:dyDescent="0.25">
      <c r="A149" s="14"/>
      <c r="B149" s="14"/>
      <c r="G149" s="15"/>
      <c r="M149" s="83"/>
      <c r="N149" s="84"/>
      <c r="O149" s="81"/>
      <c r="P149" s="93"/>
      <c r="Q149" s="93"/>
      <c r="S149" s="83"/>
      <c r="T149" s="84"/>
      <c r="U149" s="81"/>
      <c r="V149" s="93"/>
      <c r="W149" s="93"/>
      <c r="Y149" s="10"/>
      <c r="Z149" s="17"/>
      <c r="AA149" s="17"/>
    </row>
    <row r="150" spans="1:27" x14ac:dyDescent="0.25">
      <c r="A150" s="14"/>
      <c r="B150" s="14"/>
      <c r="G150" s="15"/>
      <c r="M150" s="83"/>
      <c r="N150" s="84"/>
      <c r="O150" s="81"/>
      <c r="P150" s="93"/>
      <c r="Q150" s="93"/>
      <c r="S150" s="83"/>
      <c r="T150" s="84"/>
      <c r="U150" s="81"/>
      <c r="V150" s="93"/>
      <c r="W150" s="93"/>
      <c r="Y150" s="10"/>
      <c r="Z150" s="17"/>
      <c r="AA150" s="17"/>
    </row>
    <row r="151" spans="1:27" x14ac:dyDescent="0.25">
      <c r="A151" s="14"/>
      <c r="B151" s="14"/>
      <c r="G151" s="15"/>
      <c r="M151" s="83"/>
      <c r="N151" s="84"/>
      <c r="O151" s="81"/>
      <c r="P151" s="93"/>
      <c r="Q151" s="93"/>
      <c r="S151" s="83"/>
      <c r="T151" s="84"/>
      <c r="U151" s="81"/>
      <c r="V151" s="93"/>
      <c r="W151" s="93"/>
      <c r="Y151" s="10"/>
      <c r="Z151" s="17"/>
      <c r="AA151" s="17"/>
    </row>
    <row r="152" spans="1:27" x14ac:dyDescent="0.25">
      <c r="A152" s="14"/>
      <c r="B152" s="14"/>
      <c r="G152" s="15"/>
      <c r="M152" s="83"/>
      <c r="N152" s="84"/>
      <c r="O152" s="81"/>
      <c r="P152" s="93"/>
      <c r="Q152" s="93"/>
      <c r="S152" s="83"/>
      <c r="T152" s="84"/>
      <c r="U152" s="81"/>
      <c r="V152" s="93"/>
      <c r="W152" s="93"/>
      <c r="Y152" s="10"/>
      <c r="Z152" s="17"/>
      <c r="AA152" s="17"/>
    </row>
    <row r="153" spans="1:27" x14ac:dyDescent="0.25">
      <c r="A153" s="14"/>
      <c r="B153" s="14"/>
      <c r="G153" s="15"/>
      <c r="M153" s="83"/>
      <c r="N153" s="84"/>
      <c r="O153" s="81"/>
      <c r="P153" s="93"/>
      <c r="Q153" s="93"/>
      <c r="S153" s="83"/>
      <c r="T153" s="84"/>
      <c r="U153" s="81"/>
      <c r="V153" s="93"/>
      <c r="W153" s="93"/>
      <c r="Y153" s="10"/>
      <c r="Z153" s="17"/>
      <c r="AA153" s="17"/>
    </row>
    <row r="154" spans="1:27" x14ac:dyDescent="0.25">
      <c r="A154" s="14"/>
      <c r="B154" s="14"/>
      <c r="G154" s="15"/>
      <c r="M154" s="83"/>
      <c r="N154" s="84"/>
      <c r="O154" s="81"/>
      <c r="P154" s="93"/>
      <c r="Q154" s="93"/>
      <c r="S154" s="83"/>
      <c r="T154" s="84"/>
      <c r="U154" s="81"/>
      <c r="V154" s="93"/>
      <c r="W154" s="93"/>
      <c r="Y154" s="10"/>
      <c r="Z154" s="17"/>
      <c r="AA154" s="17"/>
    </row>
    <row r="155" spans="1:27" x14ac:dyDescent="0.25">
      <c r="A155" s="14"/>
      <c r="B155" s="14"/>
      <c r="G155" s="15"/>
      <c r="M155" s="83"/>
      <c r="N155" s="84"/>
      <c r="O155" s="81"/>
      <c r="P155" s="93"/>
      <c r="Q155" s="93"/>
      <c r="S155" s="83"/>
      <c r="T155" s="84"/>
      <c r="U155" s="81"/>
      <c r="V155" s="93"/>
      <c r="W155" s="93"/>
      <c r="Y155" s="10"/>
      <c r="Z155" s="17"/>
      <c r="AA155" s="17"/>
    </row>
    <row r="156" spans="1:27" x14ac:dyDescent="0.25">
      <c r="A156" s="14"/>
      <c r="B156" s="14"/>
      <c r="G156" s="15"/>
      <c r="M156" s="83"/>
      <c r="N156" s="84"/>
      <c r="O156" s="81"/>
      <c r="P156" s="93"/>
      <c r="Q156" s="93"/>
      <c r="S156" s="83"/>
      <c r="T156" s="84"/>
      <c r="U156" s="81"/>
      <c r="V156" s="93"/>
      <c r="W156" s="93"/>
      <c r="Y156" s="10"/>
      <c r="Z156" s="17"/>
      <c r="AA156" s="17"/>
    </row>
    <row r="157" spans="1:27" x14ac:dyDescent="0.25">
      <c r="A157" s="14"/>
      <c r="B157" s="14"/>
      <c r="G157" s="15"/>
      <c r="M157" s="83"/>
      <c r="N157" s="84"/>
      <c r="O157" s="81"/>
      <c r="P157" s="93"/>
      <c r="Q157" s="93"/>
      <c r="S157" s="83"/>
      <c r="T157" s="84"/>
      <c r="U157" s="81"/>
      <c r="V157" s="93"/>
      <c r="W157" s="93"/>
      <c r="Y157" s="10"/>
      <c r="Z157" s="17"/>
      <c r="AA157" s="17"/>
    </row>
    <row r="158" spans="1:27" x14ac:dyDescent="0.25">
      <c r="A158" s="14"/>
      <c r="B158" s="14"/>
      <c r="G158" s="15"/>
      <c r="M158" s="83"/>
      <c r="N158" s="84"/>
      <c r="O158" s="81"/>
      <c r="P158" s="93"/>
      <c r="Q158" s="93"/>
      <c r="S158" s="83"/>
      <c r="T158" s="84"/>
      <c r="U158" s="81"/>
      <c r="V158" s="93"/>
      <c r="W158" s="93"/>
      <c r="Y158" s="10"/>
      <c r="Z158" s="17"/>
      <c r="AA158" s="17"/>
    </row>
    <row r="159" spans="1:27" x14ac:dyDescent="0.25">
      <c r="A159" s="14"/>
      <c r="B159" s="14"/>
      <c r="G159" s="15"/>
      <c r="M159" s="83"/>
      <c r="N159" s="84"/>
      <c r="O159" s="81"/>
      <c r="P159" s="93"/>
      <c r="Q159" s="93"/>
      <c r="S159" s="83"/>
      <c r="T159" s="84"/>
      <c r="U159" s="81"/>
      <c r="V159" s="93"/>
      <c r="W159" s="93"/>
      <c r="Y159" s="10"/>
      <c r="Z159" s="17"/>
      <c r="AA159" s="17"/>
    </row>
    <row r="160" spans="1:27" x14ac:dyDescent="0.25">
      <c r="A160" s="14"/>
      <c r="B160" s="14"/>
      <c r="G160" s="15"/>
      <c r="M160" s="83"/>
      <c r="N160" s="84"/>
      <c r="O160" s="81"/>
      <c r="P160" s="93"/>
      <c r="Q160" s="93"/>
      <c r="S160" s="83"/>
      <c r="T160" s="84"/>
      <c r="U160" s="81"/>
      <c r="V160" s="93"/>
      <c r="W160" s="93"/>
      <c r="Y160" s="10"/>
      <c r="Z160" s="17"/>
      <c r="AA160" s="17"/>
    </row>
    <row r="161" spans="1:27" x14ac:dyDescent="0.25">
      <c r="A161" s="14"/>
      <c r="B161" s="14"/>
      <c r="G161" s="15"/>
      <c r="M161" s="83"/>
      <c r="N161" s="84"/>
      <c r="O161" s="81"/>
      <c r="P161" s="93"/>
      <c r="Q161" s="93"/>
      <c r="S161" s="83"/>
      <c r="T161" s="84"/>
      <c r="U161" s="81"/>
      <c r="V161" s="93"/>
      <c r="W161" s="93"/>
      <c r="Y161" s="10"/>
      <c r="Z161" s="17"/>
      <c r="AA161" s="17"/>
    </row>
    <row r="162" spans="1:27" x14ac:dyDescent="0.25">
      <c r="A162" s="14"/>
      <c r="B162" s="14"/>
      <c r="G162" s="15"/>
      <c r="M162" s="83"/>
      <c r="N162" s="84"/>
      <c r="O162" s="81"/>
      <c r="P162" s="93"/>
      <c r="Q162" s="93"/>
      <c r="S162" s="83"/>
      <c r="T162" s="84"/>
      <c r="U162" s="81"/>
      <c r="V162" s="93"/>
      <c r="W162" s="93"/>
      <c r="Y162" s="10"/>
      <c r="Z162" s="17"/>
      <c r="AA162" s="17"/>
    </row>
    <row r="163" spans="1:27" x14ac:dyDescent="0.25">
      <c r="A163" s="14"/>
      <c r="B163" s="14"/>
      <c r="G163" s="15"/>
      <c r="M163" s="83"/>
      <c r="N163" s="84"/>
      <c r="O163" s="81"/>
      <c r="P163" s="93"/>
      <c r="Q163" s="93"/>
      <c r="S163" s="83"/>
      <c r="T163" s="84"/>
      <c r="U163" s="81"/>
      <c r="V163" s="93"/>
      <c r="W163" s="93"/>
      <c r="Y163" s="10"/>
      <c r="Z163" s="17"/>
      <c r="AA163" s="17"/>
    </row>
    <row r="164" spans="1:27" x14ac:dyDescent="0.25">
      <c r="A164" s="14"/>
      <c r="B164" s="14"/>
      <c r="G164" s="15"/>
      <c r="M164" s="83"/>
      <c r="N164" s="84"/>
      <c r="O164" s="81"/>
      <c r="P164" s="93"/>
      <c r="Q164" s="93"/>
      <c r="S164" s="83"/>
      <c r="T164" s="84"/>
      <c r="U164" s="81"/>
      <c r="V164" s="93"/>
      <c r="W164" s="93"/>
      <c r="Y164" s="10"/>
      <c r="Z164" s="17"/>
      <c r="AA164" s="17"/>
    </row>
    <row r="165" spans="1:27" x14ac:dyDescent="0.25">
      <c r="B165" s="14"/>
      <c r="M165" s="83"/>
      <c r="N165" s="84"/>
      <c r="O165" s="81"/>
      <c r="P165" s="93"/>
      <c r="Q165" s="93"/>
      <c r="S165" s="83"/>
      <c r="T165" s="84"/>
      <c r="U165" s="81"/>
      <c r="V165" s="93"/>
      <c r="W165" s="93"/>
      <c r="Y165" s="10"/>
      <c r="Z165" s="17"/>
      <c r="AA165" s="17"/>
    </row>
    <row r="166" spans="1:27" x14ac:dyDescent="0.25">
      <c r="B166" s="14"/>
      <c r="M166" s="83"/>
      <c r="N166" s="84"/>
      <c r="O166" s="81"/>
      <c r="P166" s="93"/>
      <c r="Q166" s="93"/>
      <c r="S166" s="83"/>
      <c r="T166" s="84"/>
      <c r="U166" s="81"/>
      <c r="V166" s="93"/>
      <c r="W166" s="93"/>
      <c r="Y166" s="10"/>
      <c r="Z166" s="17"/>
      <c r="AA166" s="17"/>
    </row>
    <row r="167" spans="1:27" x14ac:dyDescent="0.25">
      <c r="B167" s="14"/>
      <c r="M167" s="83"/>
      <c r="N167" s="84"/>
      <c r="O167" s="81"/>
      <c r="P167" s="93"/>
      <c r="Q167" s="93"/>
      <c r="S167" s="83"/>
      <c r="T167" s="84"/>
      <c r="U167" s="81"/>
      <c r="V167" s="93"/>
      <c r="W167" s="93"/>
      <c r="Y167" s="10"/>
      <c r="Z167" s="17"/>
      <c r="AA167" s="17"/>
    </row>
    <row r="168" spans="1:27" x14ac:dyDescent="0.25">
      <c r="B168" s="14"/>
      <c r="M168" s="83"/>
      <c r="N168" s="84"/>
      <c r="O168" s="81"/>
      <c r="P168" s="93"/>
      <c r="Q168" s="93"/>
      <c r="S168" s="83"/>
      <c r="T168" s="84"/>
      <c r="U168" s="81"/>
      <c r="V168" s="93"/>
      <c r="W168" s="93"/>
      <c r="Y168" s="10"/>
      <c r="Z168" s="17"/>
      <c r="AA168" s="17"/>
    </row>
    <row r="169" spans="1:27" x14ac:dyDescent="0.25">
      <c r="B169" s="14"/>
      <c r="M169" s="83"/>
      <c r="N169" s="84"/>
      <c r="O169" s="81"/>
      <c r="P169" s="93"/>
      <c r="Q169" s="93"/>
      <c r="S169" s="83"/>
      <c r="T169" s="84"/>
      <c r="U169" s="81"/>
      <c r="V169" s="93"/>
      <c r="W169" s="93"/>
      <c r="Y169" s="10"/>
      <c r="Z169" s="17"/>
      <c r="AA169" s="17"/>
    </row>
    <row r="170" spans="1:27" x14ac:dyDescent="0.25">
      <c r="B170" s="14"/>
      <c r="M170" s="83"/>
      <c r="N170" s="84"/>
      <c r="O170" s="81"/>
      <c r="P170" s="93"/>
      <c r="Q170" s="93"/>
      <c r="S170" s="83"/>
      <c r="T170" s="84"/>
      <c r="U170" s="81"/>
      <c r="V170" s="93"/>
      <c r="W170" s="93"/>
      <c r="Y170" s="10"/>
      <c r="Z170" s="17"/>
      <c r="AA170" s="17"/>
    </row>
    <row r="171" spans="1:27" x14ac:dyDescent="0.25">
      <c r="B171" s="14"/>
      <c r="M171" s="83"/>
      <c r="N171" s="84"/>
      <c r="O171" s="81"/>
      <c r="P171" s="93"/>
      <c r="Q171" s="93"/>
      <c r="S171" s="83"/>
      <c r="T171" s="84"/>
      <c r="U171" s="81"/>
      <c r="V171" s="93"/>
      <c r="W171" s="93"/>
      <c r="Y171" s="10"/>
      <c r="Z171" s="17"/>
      <c r="AA171" s="17"/>
    </row>
    <row r="172" spans="1:27" x14ac:dyDescent="0.25">
      <c r="B172" s="14"/>
      <c r="M172" s="83"/>
      <c r="N172" s="84"/>
      <c r="O172" s="81"/>
      <c r="P172" s="93"/>
      <c r="Q172" s="93"/>
      <c r="S172" s="83"/>
      <c r="T172" s="84"/>
      <c r="U172" s="81"/>
      <c r="V172" s="93"/>
      <c r="W172" s="93"/>
      <c r="Y172" s="10"/>
      <c r="Z172" s="17"/>
      <c r="AA172" s="17"/>
    </row>
    <row r="173" spans="1:27" x14ac:dyDescent="0.25">
      <c r="B173" s="14"/>
      <c r="M173" s="83"/>
      <c r="N173" s="84"/>
      <c r="O173" s="81"/>
      <c r="P173" s="93"/>
      <c r="Q173" s="93"/>
      <c r="S173" s="83"/>
      <c r="T173" s="84"/>
      <c r="U173" s="81"/>
      <c r="V173" s="93"/>
      <c r="W173" s="93"/>
      <c r="Y173" s="10"/>
      <c r="Z173" s="17"/>
      <c r="AA173" s="17"/>
    </row>
    <row r="174" spans="1:27" x14ac:dyDescent="0.25">
      <c r="B174" s="14"/>
      <c r="M174" s="83"/>
      <c r="N174" s="84"/>
      <c r="O174" s="81"/>
      <c r="P174" s="93"/>
      <c r="Q174" s="93"/>
      <c r="S174" s="83"/>
      <c r="T174" s="84"/>
      <c r="U174" s="81"/>
      <c r="V174" s="93"/>
      <c r="W174" s="93"/>
      <c r="Y174" s="10"/>
      <c r="Z174" s="17"/>
      <c r="AA174" s="17"/>
    </row>
    <row r="175" spans="1:27" x14ac:dyDescent="0.25">
      <c r="B175" s="14"/>
      <c r="M175" s="83"/>
      <c r="N175" s="84"/>
      <c r="O175" s="81"/>
      <c r="P175" s="93"/>
      <c r="Q175" s="93"/>
      <c r="S175" s="83"/>
      <c r="T175" s="84"/>
      <c r="U175" s="81"/>
      <c r="V175" s="93"/>
      <c r="W175" s="93"/>
      <c r="Y175" s="10"/>
      <c r="Z175" s="17"/>
      <c r="AA175" s="17"/>
    </row>
    <row r="176" spans="1:27" x14ac:dyDescent="0.25">
      <c r="B176" s="14"/>
      <c r="M176" s="83"/>
      <c r="N176" s="84"/>
      <c r="O176" s="81"/>
      <c r="P176" s="93"/>
      <c r="Q176" s="93"/>
      <c r="S176" s="83"/>
      <c r="T176" s="84"/>
      <c r="U176" s="81"/>
      <c r="V176" s="93"/>
      <c r="W176" s="93"/>
      <c r="Y176" s="10"/>
      <c r="Z176" s="17"/>
      <c r="AA176" s="17"/>
    </row>
    <row r="177" spans="2:27" x14ac:dyDescent="0.25">
      <c r="B177" s="14"/>
      <c r="M177" s="83"/>
      <c r="N177" s="84"/>
      <c r="O177" s="81"/>
      <c r="P177" s="93"/>
      <c r="Q177" s="93"/>
      <c r="S177" s="83"/>
      <c r="T177" s="84"/>
      <c r="U177" s="81"/>
      <c r="V177" s="93"/>
      <c r="W177" s="93"/>
      <c r="Y177" s="10"/>
      <c r="Z177" s="17"/>
      <c r="AA177" s="17"/>
    </row>
    <row r="178" spans="2:27" x14ac:dyDescent="0.25">
      <c r="B178" s="14"/>
      <c r="M178" s="83"/>
      <c r="N178" s="84"/>
      <c r="O178" s="81"/>
      <c r="P178" s="93"/>
      <c r="Q178" s="93"/>
      <c r="S178" s="83"/>
      <c r="T178" s="84"/>
      <c r="U178" s="81"/>
      <c r="V178" s="93"/>
      <c r="W178" s="93"/>
      <c r="Y178" s="10"/>
      <c r="Z178" s="17"/>
      <c r="AA178" s="17"/>
    </row>
    <row r="179" spans="2:27" x14ac:dyDescent="0.25">
      <c r="B179" s="14"/>
      <c r="M179" s="83"/>
      <c r="N179" s="84"/>
      <c r="O179" s="81"/>
      <c r="P179" s="93"/>
      <c r="Q179" s="93"/>
      <c r="S179" s="83"/>
      <c r="T179" s="84"/>
      <c r="U179" s="81"/>
      <c r="V179" s="93"/>
      <c r="W179" s="93"/>
      <c r="Y179" s="10"/>
      <c r="Z179" s="17"/>
      <c r="AA179" s="17"/>
    </row>
    <row r="180" spans="2:27" x14ac:dyDescent="0.25">
      <c r="B180" s="14"/>
      <c r="M180" s="83"/>
      <c r="N180" s="84"/>
      <c r="O180" s="81"/>
      <c r="P180" s="93"/>
      <c r="Q180" s="93"/>
      <c r="S180" s="83"/>
      <c r="T180" s="84"/>
      <c r="U180" s="81"/>
      <c r="V180" s="93"/>
      <c r="W180" s="93"/>
      <c r="Y180" s="10"/>
      <c r="Z180" s="17"/>
      <c r="AA180" s="17"/>
    </row>
    <row r="181" spans="2:27" x14ac:dyDescent="0.25">
      <c r="B181" s="14"/>
      <c r="M181" s="83"/>
      <c r="N181" s="84"/>
      <c r="O181" s="81"/>
      <c r="P181" s="93"/>
      <c r="Q181" s="93"/>
      <c r="S181" s="83"/>
      <c r="T181" s="84"/>
      <c r="U181" s="81"/>
      <c r="V181" s="93"/>
      <c r="W181" s="93"/>
      <c r="Y181" s="10"/>
      <c r="Z181" s="17"/>
      <c r="AA181" s="17"/>
    </row>
    <row r="182" spans="2:27" x14ac:dyDescent="0.25">
      <c r="B182" s="14"/>
      <c r="M182" s="83"/>
      <c r="N182" s="84"/>
      <c r="O182" s="81"/>
      <c r="P182" s="93"/>
      <c r="Q182" s="93"/>
      <c r="S182" s="83"/>
      <c r="T182" s="84"/>
      <c r="U182" s="81"/>
      <c r="V182" s="93"/>
      <c r="W182" s="93"/>
      <c r="Y182" s="10"/>
      <c r="Z182" s="17"/>
      <c r="AA182" s="17"/>
    </row>
    <row r="183" spans="2:27" x14ac:dyDescent="0.25">
      <c r="B183" s="14"/>
      <c r="M183" s="83"/>
      <c r="N183" s="84"/>
      <c r="O183" s="81"/>
      <c r="P183" s="93"/>
      <c r="Q183" s="93"/>
      <c r="S183" s="83"/>
      <c r="T183" s="84"/>
      <c r="U183" s="81"/>
      <c r="V183" s="93"/>
      <c r="W183" s="93"/>
      <c r="Y183" s="10"/>
      <c r="Z183" s="17"/>
      <c r="AA183" s="17"/>
    </row>
    <row r="184" spans="2:27" x14ac:dyDescent="0.25">
      <c r="B184" s="14"/>
      <c r="M184" s="83"/>
      <c r="N184" s="84"/>
      <c r="O184" s="81"/>
      <c r="P184" s="93"/>
      <c r="Q184" s="93"/>
      <c r="S184" s="83"/>
      <c r="T184" s="84"/>
      <c r="U184" s="81"/>
      <c r="V184" s="93"/>
      <c r="W184" s="93"/>
      <c r="Y184" s="10"/>
      <c r="Z184" s="12"/>
      <c r="AA184" s="12"/>
    </row>
    <row r="185" spans="2:27" x14ac:dyDescent="0.25">
      <c r="B185" s="14"/>
      <c r="M185" s="83"/>
      <c r="N185" s="84"/>
      <c r="O185" s="81"/>
      <c r="P185" s="93"/>
      <c r="Q185" s="93"/>
      <c r="S185" s="83"/>
      <c r="T185" s="84"/>
      <c r="U185" s="81"/>
      <c r="V185" s="93"/>
      <c r="W185" s="93"/>
      <c r="Y185" s="10"/>
      <c r="Z185" s="12"/>
      <c r="AA185" s="12"/>
    </row>
    <row r="186" spans="2:27" x14ac:dyDescent="0.25">
      <c r="B186" s="14"/>
      <c r="M186" s="83"/>
      <c r="N186" s="84"/>
      <c r="O186" s="81"/>
      <c r="P186" s="93"/>
      <c r="Q186" s="93"/>
      <c r="S186" s="83"/>
      <c r="T186" s="84"/>
      <c r="U186" s="81"/>
      <c r="V186" s="93"/>
      <c r="W186" s="93"/>
      <c r="Y186" s="13"/>
      <c r="Z186" s="13"/>
      <c r="AA186" s="13"/>
    </row>
    <row r="187" spans="2:27" x14ac:dyDescent="0.25">
      <c r="B187" s="14"/>
      <c r="M187" s="83"/>
      <c r="N187" s="84"/>
      <c r="O187" s="81"/>
      <c r="P187" s="93"/>
      <c r="Q187" s="93"/>
      <c r="S187" s="83"/>
      <c r="T187" s="84"/>
      <c r="U187" s="81"/>
      <c r="V187" s="93"/>
      <c r="W187" s="93"/>
      <c r="Y187" s="13"/>
      <c r="Z187" s="13"/>
      <c r="AA187" s="13"/>
    </row>
    <row r="188" spans="2:27" x14ac:dyDescent="0.25">
      <c r="B188" s="14"/>
      <c r="M188" s="83"/>
      <c r="N188" s="84"/>
      <c r="O188" s="81"/>
      <c r="P188" s="93"/>
      <c r="Q188" s="93"/>
      <c r="S188" s="83"/>
      <c r="T188" s="84"/>
      <c r="U188" s="81"/>
      <c r="V188" s="93"/>
      <c r="W188" s="93"/>
      <c r="Y188" s="13"/>
      <c r="Z188" s="13"/>
      <c r="AA188" s="13"/>
    </row>
    <row r="189" spans="2:27" x14ac:dyDescent="0.25">
      <c r="B189" s="14"/>
      <c r="M189" s="83"/>
      <c r="N189" s="84"/>
      <c r="O189" s="81"/>
      <c r="P189" s="93"/>
      <c r="Q189" s="93"/>
      <c r="S189" s="83"/>
      <c r="T189" s="84"/>
      <c r="U189" s="81"/>
      <c r="V189" s="93"/>
      <c r="W189" s="93"/>
      <c r="Y189" s="13"/>
      <c r="Z189" s="13"/>
      <c r="AA189" s="13"/>
    </row>
    <row r="190" spans="2:27" x14ac:dyDescent="0.25">
      <c r="B190" s="14"/>
      <c r="M190" s="83"/>
      <c r="N190" s="84"/>
      <c r="O190" s="81"/>
      <c r="P190" s="93"/>
      <c r="Q190" s="93"/>
      <c r="S190" s="83"/>
      <c r="T190" s="84"/>
      <c r="U190" s="81"/>
      <c r="V190" s="93"/>
      <c r="W190" s="93"/>
      <c r="Y190" s="13"/>
      <c r="Z190" s="13"/>
      <c r="AA190" s="13"/>
    </row>
    <row r="191" spans="2:27" x14ac:dyDescent="0.25">
      <c r="B191" s="14"/>
      <c r="M191" s="83"/>
      <c r="N191" s="84"/>
      <c r="O191" s="81"/>
      <c r="P191" s="93"/>
      <c r="Q191" s="93"/>
      <c r="S191" s="83"/>
      <c r="T191" s="84"/>
      <c r="U191" s="81"/>
      <c r="V191" s="93"/>
      <c r="W191" s="93"/>
      <c r="Y191" s="13"/>
      <c r="Z191" s="13"/>
      <c r="AA191" s="13"/>
    </row>
    <row r="192" spans="2:27" x14ac:dyDescent="0.25">
      <c r="B192" s="14"/>
      <c r="M192" s="83"/>
      <c r="N192" s="84"/>
      <c r="O192" s="81"/>
      <c r="P192" s="93"/>
      <c r="Q192" s="93"/>
      <c r="S192" s="83"/>
      <c r="T192" s="84"/>
      <c r="U192" s="81"/>
      <c r="V192" s="93"/>
      <c r="W192" s="93"/>
      <c r="Y192" s="13"/>
      <c r="Z192" s="13"/>
      <c r="AA192" s="13"/>
    </row>
    <row r="193" spans="2:27" x14ac:dyDescent="0.25">
      <c r="B193" s="14"/>
      <c r="M193" s="83"/>
      <c r="N193" s="84"/>
      <c r="O193" s="81"/>
      <c r="P193" s="93"/>
      <c r="Q193" s="93"/>
      <c r="S193" s="83"/>
      <c r="T193" s="84"/>
      <c r="U193" s="81"/>
      <c r="V193" s="93"/>
      <c r="W193" s="93"/>
      <c r="Y193" s="13"/>
      <c r="Z193" s="13"/>
      <c r="AA193" s="13"/>
    </row>
    <row r="194" spans="2:27" x14ac:dyDescent="0.25">
      <c r="B194" s="14"/>
      <c r="M194" s="83"/>
      <c r="N194" s="84"/>
      <c r="O194" s="81"/>
      <c r="P194" s="93"/>
      <c r="Q194" s="93"/>
      <c r="S194" s="83"/>
      <c r="T194" s="84"/>
      <c r="U194" s="81"/>
      <c r="V194" s="93"/>
      <c r="W194" s="93"/>
      <c r="Y194" s="13"/>
      <c r="Z194" s="13"/>
      <c r="AA194" s="13"/>
    </row>
    <row r="195" spans="2:27" x14ac:dyDescent="0.25">
      <c r="B195" s="14"/>
      <c r="M195" s="83"/>
      <c r="N195" s="84"/>
      <c r="O195" s="81"/>
      <c r="P195" s="93"/>
      <c r="Q195" s="93"/>
      <c r="S195" s="83"/>
      <c r="T195" s="84"/>
      <c r="U195" s="81"/>
      <c r="V195" s="93"/>
      <c r="W195" s="93"/>
      <c r="Y195" s="13"/>
      <c r="Z195" s="13"/>
      <c r="AA195" s="13"/>
    </row>
    <row r="196" spans="2:27" x14ac:dyDescent="0.25">
      <c r="B196" s="14"/>
      <c r="M196" s="83"/>
      <c r="N196" s="84"/>
      <c r="O196" s="81"/>
      <c r="P196" s="93"/>
      <c r="Q196" s="93"/>
      <c r="S196" s="83"/>
      <c r="T196" s="84"/>
      <c r="U196" s="81"/>
      <c r="V196" s="93"/>
      <c r="W196" s="93"/>
      <c r="Y196" s="13"/>
      <c r="Z196" s="13"/>
      <c r="AA196" s="13"/>
    </row>
    <row r="197" spans="2:27" x14ac:dyDescent="0.25">
      <c r="B197" s="14"/>
      <c r="M197" s="83"/>
      <c r="N197" s="84"/>
      <c r="O197" s="81"/>
      <c r="P197" s="93"/>
      <c r="Q197" s="93"/>
      <c r="S197" s="83"/>
      <c r="T197" s="84"/>
      <c r="U197" s="81"/>
      <c r="V197" s="93"/>
      <c r="W197" s="93"/>
      <c r="Y197" s="13"/>
      <c r="Z197" s="13"/>
      <c r="AA197" s="13"/>
    </row>
    <row r="198" spans="2:27" x14ac:dyDescent="0.25">
      <c r="B198" s="14"/>
      <c r="M198" s="83"/>
      <c r="N198" s="84"/>
      <c r="O198" s="81"/>
      <c r="P198" s="93"/>
      <c r="Q198" s="93"/>
      <c r="S198" s="83"/>
      <c r="T198" s="84"/>
      <c r="U198" s="81"/>
      <c r="V198" s="93"/>
      <c r="W198" s="93"/>
      <c r="Y198" s="13"/>
      <c r="Z198" s="13"/>
      <c r="AA198" s="13"/>
    </row>
    <row r="199" spans="2:27" x14ac:dyDescent="0.25">
      <c r="B199" s="14"/>
      <c r="M199" s="83"/>
      <c r="N199" s="84"/>
      <c r="O199" s="81"/>
      <c r="P199" s="93"/>
      <c r="Q199" s="93"/>
      <c r="S199" s="83"/>
      <c r="T199" s="84"/>
      <c r="U199" s="81"/>
      <c r="V199" s="93"/>
      <c r="W199" s="93"/>
      <c r="Y199" s="13"/>
      <c r="Z199" s="13"/>
      <c r="AA199" s="13"/>
    </row>
    <row r="200" spans="2:27" x14ac:dyDescent="0.25">
      <c r="B200" s="14"/>
      <c r="M200" s="83"/>
      <c r="N200" s="84"/>
      <c r="O200" s="81"/>
      <c r="P200" s="93"/>
      <c r="Q200" s="93"/>
      <c r="S200" s="83"/>
      <c r="T200" s="84"/>
      <c r="U200" s="81"/>
      <c r="V200" s="93"/>
      <c r="W200" s="93"/>
      <c r="Y200" s="13"/>
      <c r="Z200" s="13"/>
      <c r="AA200" s="13"/>
    </row>
    <row r="201" spans="2:27" x14ac:dyDescent="0.25">
      <c r="B201" s="14"/>
      <c r="M201" s="83"/>
      <c r="N201" s="84"/>
      <c r="O201" s="81"/>
      <c r="P201" s="93"/>
      <c r="Q201" s="93"/>
      <c r="S201" s="83"/>
      <c r="T201" s="84"/>
      <c r="U201" s="81"/>
      <c r="V201" s="93"/>
      <c r="W201" s="93"/>
      <c r="Y201" s="13"/>
      <c r="Z201" s="13"/>
      <c r="AA201" s="13"/>
    </row>
    <row r="202" spans="2:27" x14ac:dyDescent="0.25">
      <c r="B202" s="14"/>
      <c r="M202" s="83"/>
      <c r="N202" s="84"/>
      <c r="O202" s="81"/>
      <c r="P202" s="93"/>
      <c r="Q202" s="93"/>
      <c r="S202" s="83"/>
      <c r="T202" s="84"/>
      <c r="U202" s="81"/>
      <c r="V202" s="93"/>
      <c r="W202" s="93"/>
      <c r="Y202" s="13"/>
      <c r="Z202" s="13"/>
      <c r="AA202" s="13"/>
    </row>
    <row r="203" spans="2:27" x14ac:dyDescent="0.25">
      <c r="B203" s="14"/>
      <c r="M203" s="83"/>
      <c r="N203" s="84"/>
      <c r="O203" s="81"/>
      <c r="P203" s="93"/>
      <c r="Q203" s="93"/>
      <c r="S203" s="83"/>
      <c r="T203" s="84"/>
      <c r="U203" s="81"/>
      <c r="V203" s="93"/>
      <c r="W203" s="93"/>
      <c r="Y203" s="13"/>
      <c r="Z203" s="13"/>
      <c r="AA203" s="13"/>
    </row>
    <row r="204" spans="2:27" x14ac:dyDescent="0.25">
      <c r="B204" s="14"/>
      <c r="M204" s="83"/>
      <c r="N204" s="84"/>
      <c r="O204" s="81"/>
      <c r="P204" s="93"/>
      <c r="Q204" s="93"/>
      <c r="S204" s="83"/>
      <c r="T204" s="84"/>
      <c r="U204" s="81"/>
      <c r="V204" s="93"/>
      <c r="W204" s="93"/>
      <c r="Y204" s="13"/>
      <c r="Z204" s="13"/>
      <c r="AA204" s="13"/>
    </row>
    <row r="205" spans="2:27" x14ac:dyDescent="0.25">
      <c r="B205" s="14"/>
      <c r="M205" s="83"/>
      <c r="N205" s="84"/>
      <c r="O205" s="81"/>
      <c r="P205" s="93"/>
      <c r="Q205" s="93"/>
      <c r="S205" s="83"/>
      <c r="T205" s="84"/>
      <c r="U205" s="81"/>
      <c r="V205" s="93"/>
      <c r="W205" s="93"/>
      <c r="Y205" s="13"/>
      <c r="Z205" s="13"/>
      <c r="AA205" s="13"/>
    </row>
    <row r="206" spans="2:27" x14ac:dyDescent="0.25">
      <c r="B206" s="14"/>
      <c r="M206" s="83"/>
      <c r="N206" s="84"/>
      <c r="O206" s="81"/>
      <c r="P206" s="93"/>
      <c r="Q206" s="93"/>
      <c r="S206" s="83"/>
      <c r="T206" s="84"/>
      <c r="U206" s="81"/>
      <c r="V206" s="93"/>
      <c r="W206" s="93"/>
      <c r="Y206" s="13"/>
      <c r="Z206" s="13"/>
      <c r="AA206" s="13"/>
    </row>
    <row r="207" spans="2:27" x14ac:dyDescent="0.25">
      <c r="B207" s="14"/>
      <c r="M207" s="83"/>
      <c r="N207" s="84"/>
      <c r="O207" s="81"/>
      <c r="P207" s="93"/>
      <c r="Q207" s="93"/>
      <c r="S207" s="83"/>
      <c r="T207" s="84"/>
      <c r="U207" s="81"/>
      <c r="V207" s="93"/>
      <c r="W207" s="93"/>
      <c r="Y207" s="13"/>
      <c r="Z207" s="13"/>
      <c r="AA207" s="13"/>
    </row>
    <row r="208" spans="2:27" x14ac:dyDescent="0.25">
      <c r="B208" s="14"/>
      <c r="M208" s="83"/>
      <c r="N208" s="84"/>
      <c r="O208" s="81"/>
      <c r="P208" s="93"/>
      <c r="Q208" s="93"/>
      <c r="S208" s="83"/>
      <c r="T208" s="84"/>
      <c r="U208" s="81"/>
      <c r="V208" s="93"/>
      <c r="W208" s="93"/>
      <c r="Y208" s="13"/>
      <c r="Z208" s="13"/>
      <c r="AA208" s="13"/>
    </row>
    <row r="209" spans="2:27" x14ac:dyDescent="0.25">
      <c r="B209" s="14"/>
      <c r="M209" s="83"/>
      <c r="N209" s="84"/>
      <c r="O209" s="81"/>
      <c r="P209" s="93"/>
      <c r="Q209" s="93"/>
      <c r="S209" s="83"/>
      <c r="T209" s="84"/>
      <c r="U209" s="81"/>
      <c r="V209" s="93"/>
      <c r="W209" s="93"/>
      <c r="Y209" s="13"/>
      <c r="Z209" s="13"/>
      <c r="AA209" s="13"/>
    </row>
    <row r="210" spans="2:27" x14ac:dyDescent="0.25">
      <c r="B210" s="14"/>
      <c r="M210" s="83"/>
      <c r="N210" s="84"/>
      <c r="O210" s="81"/>
      <c r="P210" s="93"/>
      <c r="Q210" s="93"/>
      <c r="S210" s="83"/>
      <c r="T210" s="84"/>
      <c r="U210" s="81"/>
      <c r="V210" s="93"/>
      <c r="W210" s="93"/>
      <c r="Y210" s="13"/>
      <c r="Z210" s="13"/>
      <c r="AA210" s="13"/>
    </row>
    <row r="211" spans="2:27" x14ac:dyDescent="0.25">
      <c r="B211" s="14"/>
      <c r="M211" s="83"/>
      <c r="N211" s="84"/>
      <c r="O211" s="81"/>
      <c r="P211" s="93"/>
      <c r="Q211" s="93"/>
      <c r="S211" s="83"/>
      <c r="T211" s="84"/>
      <c r="U211" s="81"/>
      <c r="V211" s="93"/>
      <c r="W211" s="93"/>
      <c r="Y211" s="13"/>
      <c r="Z211" s="13"/>
      <c r="AA211" s="13"/>
    </row>
    <row r="212" spans="2:27" x14ac:dyDescent="0.25">
      <c r="B212" s="14"/>
      <c r="M212" s="83"/>
      <c r="N212" s="84"/>
      <c r="O212" s="81"/>
      <c r="P212" s="93"/>
      <c r="Q212" s="93"/>
      <c r="S212" s="83"/>
      <c r="T212" s="84"/>
      <c r="U212" s="81"/>
      <c r="V212" s="93"/>
      <c r="W212" s="93"/>
      <c r="Y212" s="13"/>
      <c r="Z212" s="13"/>
      <c r="AA212" s="13"/>
    </row>
    <row r="213" spans="2:27" x14ac:dyDescent="0.25">
      <c r="B213" s="14"/>
      <c r="M213" s="83"/>
      <c r="N213" s="84"/>
      <c r="O213" s="81"/>
      <c r="P213" s="93"/>
      <c r="Q213" s="93"/>
      <c r="S213" s="83"/>
      <c r="T213" s="84"/>
      <c r="U213" s="81"/>
      <c r="V213" s="93"/>
      <c r="W213" s="93"/>
      <c r="Y213" s="13"/>
      <c r="Z213" s="13"/>
      <c r="AA213" s="13"/>
    </row>
    <row r="214" spans="2:27" x14ac:dyDescent="0.25">
      <c r="B214" s="14"/>
      <c r="M214" s="83"/>
      <c r="N214" s="84"/>
      <c r="O214" s="81"/>
      <c r="P214" s="93"/>
      <c r="Q214" s="93"/>
      <c r="S214" s="83"/>
      <c r="T214" s="84"/>
      <c r="U214" s="81"/>
      <c r="V214" s="93"/>
      <c r="W214" s="93"/>
      <c r="Y214" s="13"/>
      <c r="Z214" s="13"/>
      <c r="AA214" s="13"/>
    </row>
    <row r="215" spans="2:27" x14ac:dyDescent="0.25">
      <c r="B215" s="14"/>
      <c r="M215" s="83"/>
      <c r="N215" s="84"/>
      <c r="O215" s="81"/>
      <c r="P215" s="93"/>
      <c r="Q215" s="93"/>
      <c r="S215" s="83"/>
      <c r="T215" s="84"/>
      <c r="U215" s="81"/>
      <c r="V215" s="93"/>
      <c r="W215" s="93"/>
      <c r="Y215" s="13"/>
      <c r="Z215" s="13"/>
      <c r="AA215" s="13"/>
    </row>
    <row r="216" spans="2:27" x14ac:dyDescent="0.25">
      <c r="B216" s="14"/>
      <c r="M216" s="83"/>
      <c r="N216" s="84"/>
      <c r="O216" s="81"/>
      <c r="P216" s="93"/>
      <c r="Q216" s="93"/>
      <c r="S216" s="83"/>
      <c r="T216" s="84"/>
      <c r="U216" s="81"/>
      <c r="V216" s="93"/>
      <c r="W216" s="93"/>
      <c r="Y216" s="13"/>
      <c r="Z216" s="13"/>
      <c r="AA216" s="13"/>
    </row>
    <row r="217" spans="2:27" x14ac:dyDescent="0.25">
      <c r="B217" s="14"/>
      <c r="M217" s="83"/>
      <c r="N217" s="84"/>
      <c r="O217" s="81"/>
      <c r="P217" s="93"/>
      <c r="Q217" s="93"/>
      <c r="S217" s="83"/>
      <c r="T217" s="84"/>
      <c r="U217" s="81"/>
      <c r="V217" s="93"/>
      <c r="W217" s="93"/>
      <c r="Y217" s="13"/>
      <c r="Z217" s="13"/>
      <c r="AA217" s="13"/>
    </row>
    <row r="218" spans="2:27" x14ac:dyDescent="0.25">
      <c r="B218" s="14"/>
      <c r="M218" s="83"/>
      <c r="N218" s="84"/>
      <c r="O218" s="81"/>
      <c r="P218" s="93"/>
      <c r="Q218" s="93"/>
      <c r="S218" s="83"/>
      <c r="T218" s="84"/>
      <c r="U218" s="81"/>
      <c r="V218" s="93"/>
      <c r="W218" s="93"/>
      <c r="Y218" s="13"/>
      <c r="Z218" s="13"/>
      <c r="AA218" s="13"/>
    </row>
    <row r="219" spans="2:27" x14ac:dyDescent="0.25">
      <c r="B219" s="14"/>
      <c r="M219" s="83"/>
      <c r="N219" s="84"/>
      <c r="O219" s="81"/>
      <c r="P219" s="93"/>
      <c r="Q219" s="93"/>
      <c r="S219" s="83"/>
      <c r="T219" s="84"/>
      <c r="U219" s="81"/>
      <c r="V219" s="93"/>
      <c r="W219" s="93"/>
      <c r="Y219" s="13"/>
      <c r="Z219" s="13"/>
      <c r="AA219" s="13"/>
    </row>
    <row r="220" spans="2:27" x14ac:dyDescent="0.25">
      <c r="B220" s="14"/>
      <c r="M220" s="83"/>
      <c r="N220" s="84"/>
      <c r="O220" s="81"/>
      <c r="P220" s="93"/>
      <c r="Q220" s="93"/>
      <c r="S220" s="83"/>
      <c r="T220" s="84"/>
      <c r="U220" s="81"/>
      <c r="V220" s="93"/>
      <c r="W220" s="93"/>
      <c r="Y220" s="13"/>
      <c r="Z220" s="13"/>
      <c r="AA220" s="13"/>
    </row>
    <row r="221" spans="2:27" x14ac:dyDescent="0.25">
      <c r="B221" s="14"/>
      <c r="M221" s="83"/>
      <c r="N221" s="84"/>
      <c r="O221" s="81"/>
      <c r="P221" s="93"/>
      <c r="Q221" s="93"/>
      <c r="S221" s="83"/>
      <c r="T221" s="84"/>
      <c r="U221" s="81"/>
      <c r="V221" s="93"/>
      <c r="W221" s="93"/>
      <c r="Y221" s="13"/>
      <c r="Z221" s="13"/>
      <c r="AA221" s="13"/>
    </row>
    <row r="222" spans="2:27" x14ac:dyDescent="0.25">
      <c r="B222" s="14"/>
      <c r="M222" s="83"/>
      <c r="N222" s="84"/>
      <c r="O222" s="81"/>
      <c r="P222" s="93"/>
      <c r="Q222" s="93"/>
      <c r="S222" s="83"/>
      <c r="T222" s="84"/>
      <c r="U222" s="81"/>
      <c r="V222" s="93"/>
      <c r="W222" s="93"/>
      <c r="Y222" s="13"/>
      <c r="Z222" s="13"/>
      <c r="AA222" s="13"/>
    </row>
    <row r="223" spans="2:27" x14ac:dyDescent="0.25">
      <c r="B223" s="14"/>
      <c r="M223" s="83"/>
      <c r="N223" s="84"/>
      <c r="O223" s="81"/>
      <c r="P223" s="93"/>
      <c r="Q223" s="93"/>
      <c r="S223" s="83"/>
      <c r="T223" s="84"/>
      <c r="U223" s="81"/>
      <c r="V223" s="93"/>
      <c r="W223" s="93"/>
      <c r="Y223" s="13"/>
      <c r="Z223" s="13"/>
      <c r="AA223" s="13"/>
    </row>
    <row r="224" spans="2:27" x14ac:dyDescent="0.25">
      <c r="B224" s="14"/>
      <c r="M224" s="83"/>
      <c r="N224" s="84"/>
      <c r="O224" s="81"/>
      <c r="P224" s="93"/>
      <c r="Q224" s="93"/>
      <c r="S224" s="83"/>
      <c r="T224" s="84"/>
      <c r="U224" s="81"/>
      <c r="V224" s="93"/>
      <c r="W224" s="93"/>
      <c r="Y224" s="13"/>
      <c r="Z224" s="13"/>
      <c r="AA224" s="13"/>
    </row>
    <row r="225" spans="2:27" x14ac:dyDescent="0.25">
      <c r="B225" s="14"/>
      <c r="M225" s="83"/>
      <c r="N225" s="84"/>
      <c r="O225" s="81"/>
      <c r="P225" s="93"/>
      <c r="Q225" s="93"/>
      <c r="S225" s="83"/>
      <c r="T225" s="84"/>
      <c r="U225" s="81"/>
      <c r="V225" s="93"/>
      <c r="W225" s="93"/>
      <c r="Y225" s="13"/>
      <c r="Z225" s="13"/>
      <c r="AA225" s="13"/>
    </row>
    <row r="226" spans="2:27" x14ac:dyDescent="0.25">
      <c r="B226" s="14"/>
      <c r="M226" s="83"/>
      <c r="N226" s="84"/>
      <c r="O226" s="81"/>
      <c r="P226" s="93"/>
      <c r="Q226" s="93"/>
      <c r="S226" s="83"/>
      <c r="T226" s="84"/>
      <c r="U226" s="81"/>
      <c r="V226" s="93"/>
      <c r="W226" s="93"/>
      <c r="Y226" s="13"/>
      <c r="Z226" s="13"/>
      <c r="AA226" s="13"/>
    </row>
    <row r="227" spans="2:27" x14ac:dyDescent="0.25">
      <c r="B227" s="14"/>
      <c r="M227" s="83"/>
      <c r="N227" s="84"/>
      <c r="O227" s="81"/>
      <c r="P227" s="93"/>
      <c r="Q227" s="93"/>
      <c r="S227" s="83"/>
      <c r="T227" s="84"/>
      <c r="U227" s="81"/>
      <c r="V227" s="93"/>
      <c r="W227" s="93"/>
      <c r="Y227" s="13"/>
      <c r="Z227" s="13"/>
      <c r="AA227" s="13"/>
    </row>
    <row r="228" spans="2:27" x14ac:dyDescent="0.25">
      <c r="B228" s="14"/>
      <c r="M228" s="83"/>
      <c r="N228" s="84"/>
      <c r="O228" s="81"/>
      <c r="P228" s="93"/>
      <c r="Q228" s="93"/>
      <c r="S228" s="83"/>
      <c r="T228" s="84"/>
      <c r="U228" s="81"/>
      <c r="V228" s="93"/>
      <c r="W228" s="93"/>
      <c r="Y228" s="13"/>
      <c r="Z228" s="13"/>
      <c r="AA228" s="13"/>
    </row>
    <row r="229" spans="2:27" x14ac:dyDescent="0.25">
      <c r="B229" s="14"/>
      <c r="M229" s="83"/>
      <c r="N229" s="84"/>
      <c r="O229" s="81"/>
      <c r="P229" s="93"/>
      <c r="Q229" s="93"/>
      <c r="S229" s="83"/>
      <c r="T229" s="84"/>
      <c r="U229" s="81"/>
      <c r="V229" s="93"/>
      <c r="W229" s="93"/>
      <c r="Y229" s="13"/>
      <c r="Z229" s="13"/>
      <c r="AA229" s="13"/>
    </row>
    <row r="230" spans="2:27" x14ac:dyDescent="0.25">
      <c r="B230" s="14"/>
      <c r="M230" s="83"/>
      <c r="N230" s="84"/>
      <c r="O230" s="81"/>
      <c r="P230" s="93"/>
      <c r="Q230" s="93"/>
      <c r="S230" s="83"/>
      <c r="T230" s="84"/>
      <c r="U230" s="81"/>
      <c r="V230" s="93"/>
      <c r="W230" s="93"/>
      <c r="Y230" s="13"/>
      <c r="Z230" s="13"/>
      <c r="AA230" s="13"/>
    </row>
    <row r="231" spans="2:27" x14ac:dyDescent="0.25">
      <c r="B231" s="14"/>
      <c r="M231" s="83"/>
      <c r="N231" s="84"/>
      <c r="O231" s="81"/>
      <c r="P231" s="93"/>
      <c r="Q231" s="93"/>
      <c r="S231" s="83"/>
      <c r="T231" s="84"/>
      <c r="U231" s="81"/>
      <c r="V231" s="93"/>
      <c r="W231" s="93"/>
      <c r="Y231" s="13"/>
      <c r="Z231" s="13"/>
      <c r="AA231" s="13"/>
    </row>
    <row r="232" spans="2:27" x14ac:dyDescent="0.25">
      <c r="B232" s="14"/>
      <c r="M232" s="83"/>
      <c r="N232" s="84"/>
      <c r="O232" s="81"/>
      <c r="P232" s="93"/>
      <c r="Q232" s="93"/>
      <c r="S232" s="83"/>
      <c r="T232" s="84"/>
      <c r="U232" s="81"/>
      <c r="V232" s="93"/>
      <c r="W232" s="93"/>
      <c r="Y232" s="13"/>
      <c r="Z232" s="13"/>
      <c r="AA232" s="13"/>
    </row>
    <row r="233" spans="2:27" x14ac:dyDescent="0.25">
      <c r="B233" s="14"/>
      <c r="M233" s="83"/>
      <c r="N233" s="84"/>
      <c r="O233" s="81"/>
      <c r="P233" s="93"/>
      <c r="Q233" s="93"/>
      <c r="S233" s="83"/>
      <c r="T233" s="84"/>
      <c r="U233" s="81"/>
      <c r="V233" s="93"/>
      <c r="W233" s="93"/>
      <c r="Y233" s="13"/>
      <c r="Z233" s="13"/>
      <c r="AA233" s="13"/>
    </row>
    <row r="234" spans="2:27" x14ac:dyDescent="0.25">
      <c r="B234" s="14"/>
      <c r="M234" s="83"/>
      <c r="N234" s="84"/>
      <c r="O234" s="81"/>
      <c r="P234" s="93"/>
      <c r="Q234" s="93"/>
      <c r="S234" s="83"/>
      <c r="T234" s="84"/>
      <c r="U234" s="81"/>
      <c r="V234" s="93"/>
      <c r="W234" s="93"/>
      <c r="Y234" s="13"/>
      <c r="Z234" s="13"/>
      <c r="AA234" s="13"/>
    </row>
    <row r="235" spans="2:27" x14ac:dyDescent="0.25">
      <c r="B235" s="14"/>
      <c r="M235" s="83"/>
      <c r="N235" s="84"/>
      <c r="O235" s="81"/>
      <c r="P235" s="93"/>
      <c r="Q235" s="93"/>
      <c r="S235" s="83"/>
      <c r="T235" s="84"/>
      <c r="U235" s="81"/>
      <c r="V235" s="93"/>
      <c r="W235" s="93"/>
      <c r="Y235" s="13"/>
      <c r="Z235" s="13"/>
      <c r="AA235" s="13"/>
    </row>
    <row r="236" spans="2:27" x14ac:dyDescent="0.25">
      <c r="B236" s="14"/>
      <c r="M236" s="83"/>
      <c r="N236" s="84"/>
      <c r="O236" s="81"/>
      <c r="P236" s="93"/>
      <c r="Q236" s="93"/>
      <c r="S236" s="83"/>
      <c r="T236" s="84"/>
      <c r="U236" s="81"/>
      <c r="V236" s="93"/>
      <c r="W236" s="93"/>
      <c r="Y236" s="13"/>
      <c r="Z236" s="13"/>
      <c r="AA236" s="13"/>
    </row>
    <row r="237" spans="2:27" x14ac:dyDescent="0.25">
      <c r="B237" s="14"/>
      <c r="M237" s="83"/>
      <c r="N237" s="84"/>
      <c r="O237" s="81"/>
      <c r="P237" s="93"/>
      <c r="Q237" s="93"/>
      <c r="S237" s="83"/>
      <c r="T237" s="84"/>
      <c r="U237" s="81"/>
      <c r="V237" s="93"/>
      <c r="W237" s="93"/>
      <c r="Y237" s="13"/>
      <c r="Z237" s="13"/>
      <c r="AA237" s="13"/>
    </row>
    <row r="238" spans="2:27" x14ac:dyDescent="0.25">
      <c r="B238" s="14"/>
      <c r="M238" s="83"/>
      <c r="N238" s="84"/>
      <c r="O238" s="81"/>
      <c r="P238" s="93"/>
      <c r="Q238" s="93"/>
      <c r="S238" s="83"/>
      <c r="T238" s="84"/>
      <c r="U238" s="81"/>
      <c r="V238" s="93"/>
      <c r="W238" s="93"/>
      <c r="Y238" s="13"/>
      <c r="Z238" s="13"/>
      <c r="AA238" s="13"/>
    </row>
    <row r="239" spans="2:27" x14ac:dyDescent="0.25">
      <c r="B239" s="14"/>
      <c r="M239" s="83"/>
      <c r="N239" s="84"/>
      <c r="O239" s="81"/>
      <c r="P239" s="93"/>
      <c r="Q239" s="93"/>
      <c r="S239" s="83"/>
      <c r="T239" s="84"/>
      <c r="U239" s="81"/>
      <c r="V239" s="93"/>
      <c r="W239" s="93"/>
      <c r="Y239" s="13"/>
      <c r="Z239" s="13"/>
      <c r="AA239" s="13"/>
    </row>
    <row r="240" spans="2:27" x14ac:dyDescent="0.25">
      <c r="B240" s="14"/>
      <c r="M240" s="83"/>
      <c r="N240" s="84"/>
      <c r="O240" s="81"/>
      <c r="P240" s="93"/>
      <c r="Q240" s="93"/>
      <c r="S240" s="83"/>
      <c r="T240" s="84"/>
      <c r="U240" s="81"/>
      <c r="V240" s="93"/>
      <c r="W240" s="93"/>
      <c r="Y240" s="13"/>
      <c r="Z240" s="13"/>
      <c r="AA240" s="13"/>
    </row>
    <row r="241" spans="2:27" x14ac:dyDescent="0.25">
      <c r="B241" s="14"/>
      <c r="M241" s="83"/>
      <c r="N241" s="84"/>
      <c r="O241" s="81"/>
      <c r="P241" s="93"/>
      <c r="Q241" s="93"/>
      <c r="S241" s="83"/>
      <c r="T241" s="84"/>
      <c r="U241" s="81"/>
      <c r="V241" s="93"/>
      <c r="W241" s="93"/>
      <c r="Y241" s="13"/>
      <c r="Z241" s="13"/>
      <c r="AA241" s="13"/>
    </row>
    <row r="242" spans="2:27" x14ac:dyDescent="0.25">
      <c r="B242" s="14"/>
      <c r="M242" s="83"/>
      <c r="N242" s="84"/>
      <c r="O242" s="81"/>
      <c r="P242" s="93"/>
      <c r="Q242" s="93"/>
      <c r="S242" s="83"/>
      <c r="T242" s="84"/>
      <c r="U242" s="81"/>
      <c r="V242" s="93"/>
      <c r="W242" s="93"/>
      <c r="Y242" s="13"/>
      <c r="Z242" s="13"/>
      <c r="AA242" s="13"/>
    </row>
    <row r="243" spans="2:27" x14ac:dyDescent="0.25">
      <c r="B243" s="14"/>
      <c r="M243" s="83"/>
      <c r="N243" s="84"/>
      <c r="O243" s="81"/>
      <c r="P243" s="93"/>
      <c r="Q243" s="93"/>
      <c r="S243" s="83"/>
      <c r="T243" s="84"/>
      <c r="U243" s="81"/>
      <c r="V243" s="93"/>
      <c r="W243" s="93"/>
      <c r="Y243" s="13"/>
      <c r="Z243" s="13"/>
      <c r="AA243" s="13"/>
    </row>
    <row r="244" spans="2:27" x14ac:dyDescent="0.25">
      <c r="B244" s="14"/>
      <c r="M244" s="83"/>
      <c r="N244" s="84"/>
      <c r="O244" s="81"/>
      <c r="P244" s="93"/>
      <c r="Q244" s="93"/>
      <c r="S244" s="83"/>
      <c r="T244" s="84"/>
      <c r="U244" s="81"/>
      <c r="V244" s="93"/>
      <c r="W244" s="93"/>
      <c r="Y244" s="13"/>
      <c r="Z244" s="13"/>
      <c r="AA244" s="13"/>
    </row>
    <row r="245" spans="2:27" x14ac:dyDescent="0.25">
      <c r="B245" s="14"/>
      <c r="M245" s="83"/>
      <c r="N245" s="84"/>
      <c r="O245" s="81"/>
      <c r="P245" s="93"/>
      <c r="Q245" s="93"/>
      <c r="S245" s="83"/>
      <c r="T245" s="84"/>
      <c r="U245" s="81"/>
      <c r="V245" s="93"/>
      <c r="W245" s="93"/>
      <c r="Y245" s="13"/>
      <c r="Z245" s="13"/>
      <c r="AA245" s="13"/>
    </row>
    <row r="246" spans="2:27" x14ac:dyDescent="0.25">
      <c r="B246" s="14"/>
      <c r="M246" s="83"/>
      <c r="N246" s="84"/>
      <c r="O246" s="81"/>
      <c r="P246" s="93"/>
      <c r="Q246" s="93"/>
      <c r="S246" s="83"/>
      <c r="T246" s="84"/>
      <c r="U246" s="81"/>
      <c r="V246" s="93"/>
      <c r="W246" s="93"/>
      <c r="Y246" s="13"/>
      <c r="Z246" s="13"/>
      <c r="AA246" s="13"/>
    </row>
    <row r="247" spans="2:27" x14ac:dyDescent="0.25">
      <c r="B247" s="14"/>
      <c r="M247" s="83"/>
      <c r="N247" s="84"/>
      <c r="O247" s="81"/>
      <c r="P247" s="93"/>
      <c r="Q247" s="93"/>
      <c r="S247" s="83"/>
      <c r="T247" s="84"/>
      <c r="U247" s="81"/>
      <c r="V247" s="93"/>
      <c r="W247" s="93"/>
      <c r="Y247" s="13"/>
      <c r="Z247" s="13"/>
      <c r="AA247" s="13"/>
    </row>
    <row r="248" spans="2:27" x14ac:dyDescent="0.25">
      <c r="B248" s="14"/>
      <c r="M248" s="83"/>
      <c r="N248" s="84"/>
      <c r="O248" s="81"/>
      <c r="P248" s="93"/>
      <c r="Q248" s="93"/>
      <c r="S248" s="83"/>
      <c r="T248" s="84"/>
      <c r="U248" s="81"/>
      <c r="V248" s="93"/>
      <c r="W248" s="93"/>
      <c r="Y248" s="13"/>
      <c r="Z248" s="13"/>
      <c r="AA248" s="13"/>
    </row>
    <row r="249" spans="2:27" x14ac:dyDescent="0.25">
      <c r="B249" s="14"/>
      <c r="M249" s="83"/>
      <c r="N249" s="84"/>
      <c r="O249" s="81"/>
      <c r="P249" s="93"/>
      <c r="Q249" s="93"/>
      <c r="S249" s="83"/>
      <c r="T249" s="84"/>
      <c r="U249" s="81"/>
      <c r="V249" s="93"/>
      <c r="W249" s="93"/>
      <c r="Y249" s="13"/>
      <c r="Z249" s="13"/>
      <c r="AA249" s="13"/>
    </row>
    <row r="250" spans="2:27" x14ac:dyDescent="0.25">
      <c r="B250" s="14"/>
      <c r="M250" s="83"/>
      <c r="N250" s="84"/>
      <c r="O250" s="81"/>
      <c r="P250" s="93"/>
      <c r="Q250" s="93"/>
      <c r="S250" s="83"/>
      <c r="T250" s="84"/>
      <c r="U250" s="81"/>
      <c r="V250" s="93"/>
      <c r="W250" s="93"/>
      <c r="Y250" s="13"/>
      <c r="Z250" s="13"/>
      <c r="AA250" s="13"/>
    </row>
    <row r="251" spans="2:27" x14ac:dyDescent="0.25">
      <c r="B251" s="14"/>
      <c r="M251" s="83"/>
      <c r="N251" s="84"/>
      <c r="O251" s="81"/>
      <c r="P251" s="93"/>
      <c r="Q251" s="93"/>
      <c r="S251" s="83"/>
      <c r="T251" s="84"/>
      <c r="U251" s="81"/>
      <c r="V251" s="93"/>
      <c r="W251" s="93"/>
      <c r="Y251" s="13"/>
      <c r="Z251" s="13"/>
      <c r="AA251" s="13"/>
    </row>
    <row r="252" spans="2:27" x14ac:dyDescent="0.25">
      <c r="B252" s="14"/>
      <c r="M252" s="83"/>
      <c r="N252" s="84"/>
      <c r="O252" s="81"/>
      <c r="P252" s="93"/>
      <c r="Q252" s="93"/>
      <c r="S252" s="83"/>
      <c r="T252" s="84"/>
      <c r="U252" s="81"/>
      <c r="V252" s="93"/>
      <c r="W252" s="93"/>
      <c r="Y252" s="13"/>
      <c r="Z252" s="13"/>
      <c r="AA252" s="13"/>
    </row>
    <row r="253" spans="2:27" x14ac:dyDescent="0.25">
      <c r="B253" s="14"/>
      <c r="M253" s="83"/>
      <c r="N253" s="84"/>
      <c r="O253" s="81"/>
      <c r="P253" s="93"/>
      <c r="Q253" s="93"/>
      <c r="S253" s="83"/>
      <c r="T253" s="84"/>
      <c r="U253" s="81"/>
      <c r="V253" s="93"/>
      <c r="W253" s="93"/>
      <c r="Y253" s="13"/>
      <c r="Z253" s="13"/>
      <c r="AA253" s="13"/>
    </row>
    <row r="254" spans="2:27" x14ac:dyDescent="0.25">
      <c r="B254" s="14"/>
      <c r="M254" s="83"/>
      <c r="N254" s="84"/>
      <c r="O254" s="81"/>
      <c r="P254" s="93"/>
      <c r="Q254" s="93"/>
      <c r="S254" s="83"/>
      <c r="T254" s="84"/>
      <c r="U254" s="81"/>
      <c r="V254" s="93"/>
      <c r="W254" s="93"/>
      <c r="Y254" s="13"/>
      <c r="Z254" s="13"/>
      <c r="AA254" s="13"/>
    </row>
    <row r="255" spans="2:27" x14ac:dyDescent="0.25">
      <c r="B255" s="14"/>
      <c r="M255" s="83"/>
      <c r="N255" s="84"/>
      <c r="O255" s="81"/>
      <c r="P255" s="93"/>
      <c r="Q255" s="93"/>
      <c r="S255" s="83"/>
      <c r="T255" s="84"/>
      <c r="U255" s="81"/>
      <c r="V255" s="93"/>
      <c r="W255" s="93"/>
      <c r="Y255" s="13"/>
      <c r="Z255" s="13"/>
      <c r="AA255" s="13"/>
    </row>
    <row r="256" spans="2:27" x14ac:dyDescent="0.25">
      <c r="B256" s="14"/>
      <c r="M256" s="83"/>
      <c r="N256" s="84"/>
      <c r="O256" s="81"/>
      <c r="P256" s="93"/>
      <c r="Q256" s="93"/>
      <c r="S256" s="83"/>
      <c r="T256" s="84"/>
      <c r="U256" s="81"/>
      <c r="V256" s="93"/>
      <c r="W256" s="93"/>
      <c r="Y256" s="13"/>
      <c r="Z256" s="13"/>
      <c r="AA256" s="13"/>
    </row>
    <row r="257" spans="2:27" x14ac:dyDescent="0.25">
      <c r="B257" s="14"/>
      <c r="M257" s="83"/>
      <c r="N257" s="84"/>
      <c r="O257" s="81"/>
      <c r="P257" s="93"/>
      <c r="Q257" s="93"/>
      <c r="S257" s="83"/>
      <c r="T257" s="84"/>
      <c r="U257" s="81"/>
      <c r="V257" s="93"/>
      <c r="W257" s="93"/>
      <c r="Y257" s="13"/>
      <c r="Z257" s="13"/>
      <c r="AA257" s="13"/>
    </row>
    <row r="258" spans="2:27" x14ac:dyDescent="0.25">
      <c r="B258" s="14"/>
      <c r="M258" s="83"/>
      <c r="N258" s="84"/>
      <c r="O258" s="81"/>
      <c r="P258" s="93"/>
      <c r="Q258" s="93"/>
      <c r="S258" s="83"/>
      <c r="T258" s="84"/>
      <c r="U258" s="81"/>
      <c r="V258" s="93"/>
      <c r="W258" s="93"/>
      <c r="Y258" s="13"/>
      <c r="Z258" s="13"/>
      <c r="AA258" s="13"/>
    </row>
    <row r="259" spans="2:27" x14ac:dyDescent="0.25">
      <c r="B259" s="14"/>
      <c r="M259" s="83"/>
      <c r="N259" s="84"/>
      <c r="O259" s="81"/>
      <c r="P259" s="93"/>
      <c r="Q259" s="93"/>
      <c r="S259" s="83"/>
      <c r="T259" s="84"/>
      <c r="U259" s="81"/>
      <c r="V259" s="93"/>
      <c r="W259" s="93"/>
      <c r="Y259" s="13"/>
      <c r="Z259" s="13"/>
      <c r="AA259" s="13"/>
    </row>
    <row r="260" spans="2:27" x14ac:dyDescent="0.25">
      <c r="B260" s="14"/>
      <c r="M260" s="83"/>
      <c r="N260" s="84"/>
      <c r="O260" s="81"/>
      <c r="P260" s="93"/>
      <c r="Q260" s="93"/>
      <c r="S260" s="83"/>
      <c r="T260" s="84"/>
      <c r="U260" s="81"/>
      <c r="V260" s="93"/>
      <c r="W260" s="93"/>
      <c r="Y260" s="13"/>
      <c r="Z260" s="13"/>
      <c r="AA260" s="13"/>
    </row>
    <row r="261" spans="2:27" x14ac:dyDescent="0.25">
      <c r="B261" s="14"/>
      <c r="M261" s="83"/>
      <c r="N261" s="84"/>
      <c r="O261" s="81"/>
      <c r="P261" s="93"/>
      <c r="Q261" s="93"/>
      <c r="S261" s="83"/>
      <c r="T261" s="84"/>
      <c r="U261" s="81"/>
      <c r="V261" s="93"/>
      <c r="W261" s="93"/>
      <c r="Y261" s="13"/>
      <c r="Z261" s="13"/>
      <c r="AA261" s="13"/>
    </row>
    <row r="262" spans="2:27" x14ac:dyDescent="0.25">
      <c r="B262" s="14"/>
      <c r="M262" s="83"/>
      <c r="N262" s="84"/>
      <c r="O262" s="81"/>
      <c r="P262" s="93"/>
      <c r="Q262" s="93"/>
      <c r="S262" s="83"/>
      <c r="T262" s="84"/>
      <c r="U262" s="81"/>
      <c r="V262" s="93"/>
      <c r="W262" s="93"/>
      <c r="Y262" s="13"/>
      <c r="Z262" s="13"/>
      <c r="AA262" s="13"/>
    </row>
    <row r="263" spans="2:27" x14ac:dyDescent="0.25">
      <c r="B263" s="14"/>
      <c r="M263" s="83"/>
      <c r="N263" s="84"/>
      <c r="O263" s="81"/>
      <c r="P263" s="93"/>
      <c r="Q263" s="93"/>
      <c r="S263" s="83"/>
      <c r="T263" s="84"/>
      <c r="U263" s="81"/>
      <c r="V263" s="93"/>
      <c r="W263" s="93"/>
      <c r="Y263" s="13"/>
      <c r="Z263" s="13"/>
      <c r="AA263" s="13"/>
    </row>
    <row r="264" spans="2:27" x14ac:dyDescent="0.25">
      <c r="B264" s="14"/>
      <c r="M264" s="83"/>
      <c r="N264" s="84"/>
      <c r="O264" s="81"/>
      <c r="P264" s="93"/>
      <c r="Q264" s="93"/>
      <c r="S264" s="83"/>
      <c r="T264" s="84"/>
      <c r="U264" s="81"/>
      <c r="V264" s="93"/>
      <c r="W264" s="93"/>
      <c r="Y264" s="13"/>
      <c r="Z264" s="13"/>
      <c r="AA264" s="13"/>
    </row>
    <row r="265" spans="2:27" x14ac:dyDescent="0.25">
      <c r="B265" s="14"/>
      <c r="M265" s="83"/>
      <c r="N265" s="84"/>
      <c r="O265" s="81"/>
      <c r="P265" s="93"/>
      <c r="Q265" s="93"/>
      <c r="S265" s="83"/>
      <c r="T265" s="84"/>
      <c r="U265" s="81"/>
      <c r="V265" s="93"/>
      <c r="W265" s="93"/>
      <c r="Y265" s="13"/>
      <c r="Z265" s="13"/>
      <c r="AA265" s="13"/>
    </row>
    <row r="266" spans="2:27" x14ac:dyDescent="0.25">
      <c r="B266" s="14"/>
      <c r="M266" s="83"/>
      <c r="N266" s="84"/>
      <c r="O266" s="81"/>
      <c r="P266" s="93"/>
      <c r="Q266" s="93"/>
      <c r="S266" s="83"/>
      <c r="T266" s="84"/>
      <c r="U266" s="81"/>
      <c r="V266" s="93"/>
      <c r="W266" s="93"/>
      <c r="Y266" s="13"/>
      <c r="Z266" s="13"/>
      <c r="AA266" s="13"/>
    </row>
    <row r="267" spans="2:27" x14ac:dyDescent="0.25">
      <c r="B267" s="14"/>
      <c r="M267" s="83"/>
      <c r="N267" s="84"/>
      <c r="O267" s="81"/>
      <c r="P267" s="93"/>
      <c r="Q267" s="93"/>
      <c r="S267" s="83"/>
      <c r="T267" s="84"/>
      <c r="U267" s="81"/>
      <c r="V267" s="93"/>
      <c r="W267" s="93"/>
      <c r="Y267" s="13"/>
      <c r="Z267" s="13"/>
      <c r="AA267" s="13"/>
    </row>
    <row r="268" spans="2:27" x14ac:dyDescent="0.25">
      <c r="B268" s="14"/>
      <c r="M268" s="83"/>
      <c r="N268" s="84"/>
      <c r="O268" s="81"/>
      <c r="P268" s="93"/>
      <c r="Q268" s="93"/>
      <c r="S268" s="83"/>
      <c r="T268" s="84"/>
      <c r="U268" s="81"/>
      <c r="V268" s="93"/>
      <c r="W268" s="93"/>
      <c r="Y268" s="13"/>
      <c r="Z268" s="13"/>
      <c r="AA268" s="13"/>
    </row>
    <row r="269" spans="2:27" x14ac:dyDescent="0.25">
      <c r="B269" s="14"/>
      <c r="M269" s="83"/>
      <c r="N269" s="84"/>
      <c r="O269" s="81"/>
      <c r="P269" s="93"/>
      <c r="Q269" s="93"/>
      <c r="S269" s="83"/>
      <c r="T269" s="84"/>
      <c r="U269" s="81"/>
      <c r="V269" s="93"/>
      <c r="W269" s="93"/>
      <c r="Y269" s="13"/>
      <c r="Z269" s="13"/>
      <c r="AA269" s="13"/>
    </row>
    <row r="270" spans="2:27" x14ac:dyDescent="0.25">
      <c r="B270" s="14"/>
      <c r="M270" s="83"/>
      <c r="N270" s="84"/>
      <c r="O270" s="81"/>
      <c r="P270" s="93"/>
      <c r="Q270" s="93"/>
      <c r="S270" s="83"/>
      <c r="T270" s="84"/>
      <c r="U270" s="81"/>
      <c r="V270" s="93"/>
      <c r="W270" s="93"/>
      <c r="Y270" s="13"/>
      <c r="Z270" s="13"/>
      <c r="AA270" s="13"/>
    </row>
    <row r="271" spans="2:27" x14ac:dyDescent="0.25">
      <c r="B271" s="14"/>
      <c r="M271" s="83"/>
      <c r="N271" s="84"/>
      <c r="O271" s="81"/>
      <c r="P271" s="93"/>
      <c r="Q271" s="93"/>
      <c r="S271" s="83"/>
      <c r="T271" s="84"/>
      <c r="U271" s="81"/>
      <c r="V271" s="93"/>
      <c r="W271" s="93"/>
      <c r="Y271" s="13"/>
      <c r="Z271" s="13"/>
      <c r="AA271" s="13"/>
    </row>
    <row r="272" spans="2:27" x14ac:dyDescent="0.25">
      <c r="B272" s="14"/>
      <c r="M272" s="83"/>
      <c r="N272" s="84"/>
      <c r="O272" s="81"/>
      <c r="P272" s="93"/>
      <c r="Q272" s="93"/>
      <c r="S272" s="83"/>
      <c r="T272" s="84"/>
      <c r="U272" s="81"/>
      <c r="V272" s="93"/>
      <c r="W272" s="93"/>
      <c r="Y272" s="13"/>
      <c r="Z272" s="13"/>
      <c r="AA272" s="13"/>
    </row>
    <row r="273" spans="2:27" x14ac:dyDescent="0.25">
      <c r="B273" s="14"/>
      <c r="M273" s="83"/>
      <c r="N273" s="84"/>
      <c r="O273" s="81"/>
      <c r="P273" s="93"/>
      <c r="Q273" s="93"/>
      <c r="S273" s="83"/>
      <c r="T273" s="84"/>
      <c r="U273" s="81"/>
      <c r="V273" s="93"/>
      <c r="W273" s="93"/>
      <c r="Y273" s="13"/>
      <c r="Z273" s="13"/>
      <c r="AA273" s="13"/>
    </row>
    <row r="274" spans="2:27" x14ac:dyDescent="0.25">
      <c r="B274" s="14"/>
      <c r="M274" s="83"/>
      <c r="N274" s="84"/>
      <c r="O274" s="81"/>
      <c r="P274" s="93"/>
      <c r="Q274" s="93"/>
      <c r="S274" s="83"/>
      <c r="T274" s="84"/>
      <c r="U274" s="81"/>
      <c r="V274" s="93"/>
      <c r="W274" s="93"/>
      <c r="Y274" s="13"/>
      <c r="Z274" s="13"/>
      <c r="AA274" s="13"/>
    </row>
    <row r="275" spans="2:27" x14ac:dyDescent="0.25">
      <c r="B275" s="14"/>
      <c r="M275" s="83"/>
      <c r="N275" s="84"/>
      <c r="O275" s="81"/>
      <c r="P275" s="93"/>
      <c r="Q275" s="93"/>
      <c r="S275" s="83"/>
      <c r="T275" s="84"/>
      <c r="U275" s="81"/>
      <c r="V275" s="93"/>
      <c r="W275" s="93"/>
      <c r="Y275" s="13"/>
      <c r="Z275" s="13"/>
      <c r="AA275" s="13"/>
    </row>
    <row r="276" spans="2:27" x14ac:dyDescent="0.25">
      <c r="B276" s="14"/>
      <c r="M276" s="83"/>
      <c r="N276" s="84"/>
      <c r="O276" s="81"/>
      <c r="P276" s="93"/>
      <c r="Q276" s="93"/>
      <c r="S276" s="83"/>
      <c r="T276" s="84"/>
      <c r="U276" s="81"/>
      <c r="V276" s="93"/>
      <c r="W276" s="93"/>
      <c r="Y276" s="13"/>
      <c r="Z276" s="13"/>
      <c r="AA276" s="13"/>
    </row>
    <row r="277" spans="2:27" x14ac:dyDescent="0.25">
      <c r="B277" s="14"/>
      <c r="M277" s="83"/>
      <c r="N277" s="84"/>
      <c r="O277" s="81"/>
      <c r="P277" s="93"/>
      <c r="Q277" s="93"/>
      <c r="S277" s="83"/>
      <c r="T277" s="84"/>
      <c r="U277" s="81"/>
      <c r="V277" s="93"/>
      <c r="W277" s="93"/>
      <c r="Y277" s="13"/>
      <c r="Z277" s="13"/>
      <c r="AA277" s="13"/>
    </row>
    <row r="278" spans="2:27" x14ac:dyDescent="0.25">
      <c r="B278" s="14"/>
      <c r="M278" s="83"/>
      <c r="N278" s="84"/>
      <c r="O278" s="81"/>
      <c r="P278" s="93"/>
      <c r="Q278" s="93"/>
      <c r="S278" s="83"/>
      <c r="T278" s="84"/>
      <c r="U278" s="81"/>
      <c r="V278" s="93"/>
      <c r="W278" s="93"/>
      <c r="Y278" s="13"/>
      <c r="Z278" s="13"/>
      <c r="AA278" s="13"/>
    </row>
    <row r="279" spans="2:27" x14ac:dyDescent="0.25">
      <c r="B279" s="14"/>
      <c r="M279" s="83"/>
      <c r="N279" s="84"/>
      <c r="O279" s="81"/>
      <c r="P279" s="93"/>
      <c r="Q279" s="93"/>
      <c r="S279" s="83"/>
      <c r="T279" s="84"/>
      <c r="U279" s="81"/>
      <c r="V279" s="93"/>
      <c r="W279" s="93"/>
      <c r="Y279" s="13"/>
      <c r="Z279" s="13"/>
      <c r="AA279" s="13"/>
    </row>
    <row r="280" spans="2:27" x14ac:dyDescent="0.25">
      <c r="B280" s="14"/>
      <c r="M280" s="83"/>
      <c r="N280" s="84"/>
      <c r="O280" s="81"/>
      <c r="P280" s="93"/>
      <c r="Q280" s="93"/>
      <c r="S280" s="83"/>
      <c r="T280" s="84"/>
      <c r="U280" s="81"/>
      <c r="V280" s="93"/>
      <c r="W280" s="93"/>
      <c r="Y280" s="13"/>
      <c r="Z280" s="13"/>
      <c r="AA280" s="13"/>
    </row>
    <row r="281" spans="2:27" x14ac:dyDescent="0.25">
      <c r="B281" s="14"/>
      <c r="M281" s="83"/>
      <c r="N281" s="84"/>
      <c r="O281" s="81"/>
      <c r="P281" s="93"/>
      <c r="Q281" s="93"/>
      <c r="S281" s="83"/>
      <c r="T281" s="84"/>
      <c r="U281" s="81"/>
      <c r="V281" s="93"/>
      <c r="W281" s="93"/>
      <c r="Y281" s="13"/>
      <c r="Z281" s="13"/>
      <c r="AA281" s="13"/>
    </row>
    <row r="282" spans="2:27" x14ac:dyDescent="0.25">
      <c r="B282" s="14"/>
      <c r="M282" s="83"/>
      <c r="N282" s="84"/>
      <c r="O282" s="81"/>
      <c r="P282" s="93"/>
      <c r="Q282" s="93"/>
      <c r="S282" s="83"/>
      <c r="T282" s="84"/>
      <c r="U282" s="81"/>
      <c r="V282" s="93"/>
      <c r="W282" s="93"/>
      <c r="Y282" s="13"/>
      <c r="Z282" s="13"/>
      <c r="AA282" s="13"/>
    </row>
    <row r="283" spans="2:27" x14ac:dyDescent="0.25">
      <c r="B283" s="14"/>
      <c r="M283" s="83"/>
      <c r="N283" s="84"/>
      <c r="O283" s="81"/>
      <c r="P283" s="93"/>
      <c r="Q283" s="93"/>
      <c r="S283" s="83"/>
      <c r="T283" s="84"/>
      <c r="U283" s="81"/>
      <c r="V283" s="93"/>
      <c r="W283" s="93"/>
      <c r="Y283" s="13"/>
      <c r="Z283" s="13"/>
      <c r="AA283" s="13"/>
    </row>
    <row r="284" spans="2:27" x14ac:dyDescent="0.25">
      <c r="B284" s="14"/>
      <c r="M284" s="83"/>
      <c r="N284" s="84"/>
      <c r="O284" s="81"/>
      <c r="P284" s="93"/>
      <c r="Q284" s="93"/>
      <c r="S284" s="83"/>
      <c r="T284" s="84"/>
      <c r="U284" s="81"/>
      <c r="V284" s="93"/>
      <c r="W284" s="93"/>
      <c r="Y284" s="13"/>
      <c r="Z284" s="13"/>
      <c r="AA284" s="13"/>
    </row>
    <row r="285" spans="2:27" x14ac:dyDescent="0.25">
      <c r="B285" s="14"/>
      <c r="M285" s="83"/>
      <c r="N285" s="84"/>
      <c r="O285" s="81"/>
      <c r="P285" s="93"/>
      <c r="Q285" s="93"/>
      <c r="S285" s="83"/>
      <c r="T285" s="84"/>
      <c r="U285" s="81"/>
      <c r="V285" s="93"/>
      <c r="W285" s="93"/>
      <c r="Y285" s="13"/>
      <c r="Z285" s="13"/>
      <c r="AA285" s="13"/>
    </row>
    <row r="286" spans="2:27" x14ac:dyDescent="0.25">
      <c r="B286" s="14"/>
      <c r="M286" s="83"/>
      <c r="N286" s="84"/>
      <c r="O286" s="81"/>
      <c r="P286" s="93"/>
      <c r="Q286" s="93"/>
      <c r="S286" s="83"/>
      <c r="T286" s="84"/>
      <c r="U286" s="81"/>
      <c r="V286" s="93"/>
      <c r="W286" s="93"/>
      <c r="Y286" s="13"/>
      <c r="Z286" s="13"/>
      <c r="AA286" s="13"/>
    </row>
    <row r="287" spans="2:27" x14ac:dyDescent="0.25">
      <c r="B287" s="14"/>
      <c r="M287" s="83"/>
      <c r="N287" s="84"/>
      <c r="O287" s="81"/>
      <c r="P287" s="93"/>
      <c r="Q287" s="93"/>
      <c r="S287" s="83"/>
      <c r="T287" s="84"/>
      <c r="U287" s="81"/>
      <c r="V287" s="93"/>
      <c r="W287" s="93"/>
      <c r="Y287" s="13"/>
      <c r="Z287" s="13"/>
      <c r="AA287" s="13"/>
    </row>
    <row r="288" spans="2:27" x14ac:dyDescent="0.25">
      <c r="B288" s="14"/>
      <c r="M288" s="83"/>
      <c r="N288" s="84"/>
      <c r="O288" s="81"/>
      <c r="P288" s="93"/>
      <c r="Q288" s="93"/>
      <c r="S288" s="83"/>
      <c r="T288" s="84"/>
      <c r="U288" s="81"/>
      <c r="V288" s="93"/>
      <c r="W288" s="93"/>
      <c r="Y288" s="13"/>
      <c r="Z288" s="13"/>
      <c r="AA288" s="13"/>
    </row>
    <row r="289" spans="2:27" x14ac:dyDescent="0.25">
      <c r="B289" s="14"/>
      <c r="M289" s="83"/>
      <c r="N289" s="84"/>
      <c r="O289" s="81"/>
      <c r="P289" s="93"/>
      <c r="Q289" s="93"/>
      <c r="S289" s="83"/>
      <c r="T289" s="84"/>
      <c r="U289" s="81"/>
      <c r="V289" s="93"/>
      <c r="W289" s="93"/>
      <c r="Y289" s="13"/>
      <c r="Z289" s="13"/>
      <c r="AA289" s="13"/>
    </row>
    <row r="290" spans="2:27" x14ac:dyDescent="0.25">
      <c r="B290" s="14"/>
      <c r="M290" s="83"/>
      <c r="N290" s="84"/>
      <c r="O290" s="81"/>
      <c r="P290" s="93"/>
      <c r="Q290" s="93"/>
      <c r="S290" s="83"/>
      <c r="T290" s="84"/>
      <c r="U290" s="81"/>
      <c r="V290" s="93"/>
      <c r="W290" s="93"/>
      <c r="Y290" s="13"/>
      <c r="Z290" s="13"/>
      <c r="AA290" s="13"/>
    </row>
    <row r="291" spans="2:27" x14ac:dyDescent="0.25">
      <c r="B291" s="14"/>
      <c r="M291" s="83"/>
      <c r="N291" s="84"/>
      <c r="O291" s="81"/>
      <c r="P291" s="93"/>
      <c r="Q291" s="93"/>
      <c r="S291" s="83"/>
      <c r="T291" s="84"/>
      <c r="U291" s="81"/>
      <c r="V291" s="93"/>
      <c r="W291" s="93"/>
      <c r="Y291" s="13"/>
      <c r="Z291" s="13"/>
      <c r="AA291" s="13"/>
    </row>
    <row r="292" spans="2:27" x14ac:dyDescent="0.25">
      <c r="B292" s="14"/>
      <c r="M292" s="83"/>
      <c r="N292" s="84"/>
      <c r="O292" s="81"/>
      <c r="P292" s="93"/>
      <c r="Q292" s="93"/>
      <c r="S292" s="83"/>
      <c r="T292" s="84"/>
      <c r="U292" s="81"/>
      <c r="V292" s="93"/>
      <c r="W292" s="93"/>
      <c r="Y292" s="13"/>
      <c r="Z292" s="13"/>
      <c r="AA292" s="13"/>
    </row>
    <row r="293" spans="2:27" x14ac:dyDescent="0.25">
      <c r="B293" s="14"/>
      <c r="M293" s="83"/>
      <c r="N293" s="84"/>
      <c r="O293" s="81"/>
      <c r="P293" s="93"/>
      <c r="Q293" s="93"/>
      <c r="S293" s="83"/>
      <c r="T293" s="84"/>
      <c r="U293" s="81"/>
      <c r="V293" s="93"/>
      <c r="W293" s="93"/>
      <c r="Y293" s="13"/>
      <c r="Z293" s="13"/>
      <c r="AA293" s="13"/>
    </row>
    <row r="294" spans="2:27" x14ac:dyDescent="0.25">
      <c r="B294" s="14"/>
      <c r="M294" s="83"/>
      <c r="N294" s="84"/>
      <c r="O294" s="81"/>
      <c r="P294" s="93"/>
      <c r="Q294" s="93"/>
      <c r="S294" s="83"/>
      <c r="T294" s="84"/>
      <c r="U294" s="81"/>
      <c r="V294" s="93"/>
      <c r="W294" s="93"/>
      <c r="Y294" s="13"/>
      <c r="Z294" s="13"/>
      <c r="AA294" s="13"/>
    </row>
    <row r="295" spans="2:27" x14ac:dyDescent="0.25">
      <c r="B295" s="14"/>
      <c r="M295" s="83"/>
      <c r="N295" s="84"/>
      <c r="O295" s="81"/>
      <c r="P295" s="93"/>
      <c r="Q295" s="93"/>
      <c r="S295" s="83"/>
      <c r="T295" s="84"/>
      <c r="U295" s="81"/>
      <c r="V295" s="93"/>
      <c r="W295" s="93"/>
      <c r="Y295" s="13"/>
      <c r="Z295" s="13"/>
      <c r="AA295" s="13"/>
    </row>
    <row r="296" spans="2:27" x14ac:dyDescent="0.25">
      <c r="B296" s="14"/>
      <c r="M296" s="83"/>
      <c r="N296" s="84"/>
      <c r="O296" s="81"/>
      <c r="P296" s="93"/>
      <c r="Q296" s="93"/>
      <c r="S296" s="83"/>
      <c r="T296" s="84"/>
      <c r="U296" s="81"/>
      <c r="V296" s="93"/>
      <c r="W296" s="93"/>
      <c r="Y296" s="12"/>
      <c r="Z296" s="13"/>
      <c r="AA296" s="13"/>
    </row>
    <row r="297" spans="2:27" x14ac:dyDescent="0.25">
      <c r="B297" s="14"/>
      <c r="M297" s="12"/>
      <c r="N297" s="16"/>
      <c r="O297" s="16"/>
      <c r="S297" s="83"/>
      <c r="T297" s="84"/>
      <c r="U297" s="81"/>
      <c r="V297" s="93"/>
      <c r="W297" s="93"/>
      <c r="Y297" s="12"/>
      <c r="Z297" s="13"/>
      <c r="AA297" s="13"/>
    </row>
    <row r="298" spans="2:27" x14ac:dyDescent="0.25">
      <c r="B298" s="14"/>
      <c r="M298" s="12"/>
      <c r="N298" s="16"/>
      <c r="O298" s="16"/>
      <c r="S298" s="83"/>
      <c r="T298" s="84"/>
      <c r="U298" s="81"/>
      <c r="V298" s="93"/>
      <c r="W298" s="93"/>
      <c r="Y298" s="12"/>
      <c r="Z298" s="13"/>
      <c r="AA298" s="13"/>
    </row>
    <row r="299" spans="2:27" x14ac:dyDescent="0.25">
      <c r="B299" s="14"/>
      <c r="M299" s="12"/>
      <c r="N299" s="16"/>
      <c r="O299" s="16"/>
      <c r="S299" s="83"/>
      <c r="T299" s="84"/>
      <c r="U299" s="81"/>
      <c r="V299" s="93"/>
      <c r="W299" s="93"/>
      <c r="Y299" s="12"/>
      <c r="Z299" s="13"/>
      <c r="AA299" s="13"/>
    </row>
    <row r="300" spans="2:27" x14ac:dyDescent="0.25">
      <c r="B300" s="14"/>
      <c r="M300" s="12"/>
      <c r="N300" s="16"/>
      <c r="O300" s="16"/>
      <c r="S300" s="83"/>
      <c r="T300" s="84"/>
      <c r="U300" s="81"/>
      <c r="V300" s="93"/>
      <c r="W300" s="93"/>
      <c r="Y300" s="12"/>
      <c r="Z300" s="13"/>
      <c r="AA300" s="13"/>
    </row>
    <row r="301" spans="2:27" x14ac:dyDescent="0.25">
      <c r="B301" s="14"/>
      <c r="M301" s="12"/>
      <c r="N301" s="16"/>
      <c r="O301" s="16"/>
      <c r="S301" s="83"/>
      <c r="T301" s="84"/>
      <c r="U301" s="81"/>
      <c r="V301" s="93"/>
      <c r="W301" s="93"/>
      <c r="Y301" s="12"/>
      <c r="Z301" s="13"/>
      <c r="AA301" s="13"/>
    </row>
    <row r="302" spans="2:27" x14ac:dyDescent="0.25">
      <c r="B302" s="14"/>
      <c r="M302" s="12"/>
      <c r="N302" s="16"/>
      <c r="O302" s="16"/>
      <c r="S302" s="83"/>
      <c r="T302" s="84"/>
      <c r="U302" s="81"/>
      <c r="V302" s="93"/>
      <c r="W302" s="93"/>
      <c r="Y302" s="12"/>
      <c r="Z302" s="13"/>
      <c r="AA302" s="13"/>
    </row>
    <row r="303" spans="2:27" x14ac:dyDescent="0.25">
      <c r="B303" s="14"/>
      <c r="M303" s="12"/>
      <c r="N303" s="16"/>
      <c r="O303" s="16"/>
      <c r="S303" s="83"/>
      <c r="T303" s="84"/>
      <c r="U303" s="81"/>
      <c r="V303" s="93"/>
      <c r="W303" s="93"/>
      <c r="Y303" s="12"/>
      <c r="Z303" s="13"/>
      <c r="AA303" s="13"/>
    </row>
    <row r="304" spans="2:27" x14ac:dyDescent="0.25">
      <c r="B304" s="14"/>
      <c r="M304" s="12"/>
      <c r="N304" s="16"/>
      <c r="O304" s="16"/>
      <c r="S304" s="83"/>
      <c r="T304" s="84"/>
      <c r="U304" s="81"/>
      <c r="V304" s="93"/>
      <c r="W304" s="93"/>
      <c r="Y304" s="12"/>
      <c r="Z304" s="13"/>
      <c r="AA304" s="13"/>
    </row>
    <row r="305" spans="2:27" x14ac:dyDescent="0.25">
      <c r="B305" s="14"/>
      <c r="M305" s="12"/>
      <c r="N305" s="16"/>
      <c r="O305" s="16"/>
      <c r="S305" s="83"/>
      <c r="T305" s="84"/>
      <c r="U305" s="81"/>
      <c r="V305" s="93"/>
      <c r="W305" s="93"/>
      <c r="Y305" s="12"/>
      <c r="Z305" s="13"/>
      <c r="AA305" s="13"/>
    </row>
    <row r="306" spans="2:27" x14ac:dyDescent="0.25">
      <c r="B306" s="14"/>
      <c r="M306" s="12"/>
      <c r="N306" s="16"/>
      <c r="O306" s="16"/>
      <c r="S306" s="83"/>
      <c r="T306" s="84"/>
      <c r="U306" s="81"/>
      <c r="V306" s="93"/>
      <c r="W306" s="93"/>
      <c r="Y306" s="12"/>
      <c r="Z306" s="13"/>
      <c r="AA306" s="13"/>
    </row>
    <row r="307" spans="2:27" x14ac:dyDescent="0.25">
      <c r="B307" s="14"/>
      <c r="M307" s="12"/>
      <c r="N307" s="16"/>
      <c r="O307" s="16"/>
      <c r="S307" s="83"/>
      <c r="T307" s="84"/>
      <c r="U307" s="81"/>
      <c r="V307" s="93"/>
      <c r="W307" s="93"/>
      <c r="Y307" s="12"/>
      <c r="Z307" s="13"/>
      <c r="AA307" s="13"/>
    </row>
    <row r="308" spans="2:27" x14ac:dyDescent="0.25">
      <c r="B308" s="14"/>
      <c r="M308" s="12"/>
      <c r="N308" s="16"/>
      <c r="O308" s="16"/>
      <c r="S308" s="83"/>
      <c r="T308" s="84"/>
      <c r="U308" s="81"/>
      <c r="V308" s="93"/>
      <c r="W308" s="93"/>
      <c r="Y308" s="12"/>
      <c r="Z308" s="13"/>
      <c r="AA308" s="13"/>
    </row>
    <row r="309" spans="2:27" x14ac:dyDescent="0.25">
      <c r="B309" s="14"/>
      <c r="M309" s="12"/>
      <c r="N309" s="16"/>
      <c r="O309" s="16"/>
      <c r="S309" s="83"/>
      <c r="T309" s="84"/>
      <c r="U309" s="81"/>
      <c r="V309" s="93"/>
      <c r="W309" s="93"/>
      <c r="Y309" s="12"/>
      <c r="Z309" s="13"/>
      <c r="AA309" s="13"/>
    </row>
    <row r="310" spans="2:27" x14ac:dyDescent="0.25">
      <c r="B310" s="14"/>
      <c r="M310" s="12"/>
      <c r="N310" s="16"/>
      <c r="O310" s="16"/>
      <c r="S310" s="83"/>
      <c r="T310" s="84"/>
      <c r="U310" s="81"/>
      <c r="V310" s="93"/>
      <c r="W310" s="93"/>
      <c r="Y310" s="12"/>
      <c r="Z310" s="13"/>
      <c r="AA310" s="13"/>
    </row>
    <row r="311" spans="2:27" x14ac:dyDescent="0.25">
      <c r="B311" s="14"/>
      <c r="M311" s="12"/>
      <c r="N311" s="16"/>
      <c r="O311" s="16"/>
      <c r="S311" s="83"/>
      <c r="T311" s="84"/>
      <c r="U311" s="81"/>
      <c r="V311" s="93"/>
      <c r="W311" s="93"/>
      <c r="Y311" s="12"/>
      <c r="Z311" s="13"/>
      <c r="AA311" s="13"/>
    </row>
    <row r="312" spans="2:27" x14ac:dyDescent="0.25">
      <c r="B312" s="14"/>
      <c r="M312" s="12"/>
      <c r="N312" s="16"/>
      <c r="O312" s="16"/>
      <c r="S312" s="83"/>
      <c r="T312" s="84"/>
      <c r="U312" s="81"/>
      <c r="V312" s="93"/>
      <c r="W312" s="93"/>
      <c r="Y312" s="12"/>
      <c r="Z312" s="13"/>
      <c r="AA312" s="13"/>
    </row>
    <row r="313" spans="2:27" x14ac:dyDescent="0.25">
      <c r="B313" s="14"/>
      <c r="M313" s="12"/>
      <c r="N313" s="16"/>
      <c r="O313" s="16"/>
      <c r="S313" s="83"/>
      <c r="T313" s="84"/>
      <c r="U313" s="81"/>
      <c r="V313" s="93"/>
      <c r="W313" s="93"/>
      <c r="Y313" s="12"/>
      <c r="Z313" s="13"/>
      <c r="AA313" s="13"/>
    </row>
    <row r="314" spans="2:27" x14ac:dyDescent="0.25">
      <c r="B314" s="14"/>
      <c r="M314" s="12"/>
      <c r="N314" s="16"/>
      <c r="O314" s="16"/>
      <c r="S314" s="83"/>
      <c r="T314" s="84"/>
      <c r="U314" s="81"/>
      <c r="V314" s="93"/>
      <c r="W314" s="93"/>
      <c r="Y314" s="12"/>
      <c r="Z314" s="13"/>
      <c r="AA314" s="13"/>
    </row>
    <row r="315" spans="2:27" x14ac:dyDescent="0.25">
      <c r="B315" s="14"/>
      <c r="M315" s="12"/>
      <c r="N315" s="16"/>
      <c r="O315" s="16"/>
      <c r="S315" s="83"/>
      <c r="T315" s="84"/>
      <c r="U315" s="81"/>
      <c r="V315" s="93"/>
      <c r="W315" s="93"/>
      <c r="Y315" s="12"/>
      <c r="Z315" s="13"/>
      <c r="AA315" s="13"/>
    </row>
    <row r="316" spans="2:27" x14ac:dyDescent="0.25">
      <c r="B316" s="14"/>
      <c r="M316" s="12"/>
      <c r="N316" s="16"/>
      <c r="O316" s="16"/>
      <c r="S316" s="83"/>
      <c r="T316" s="84"/>
      <c r="U316" s="81"/>
      <c r="V316" s="93"/>
      <c r="W316" s="93"/>
      <c r="Y316" s="12"/>
      <c r="Z316" s="13"/>
      <c r="AA316" s="13"/>
    </row>
    <row r="317" spans="2:27" x14ac:dyDescent="0.25">
      <c r="B317" s="14"/>
      <c r="M317" s="12"/>
      <c r="N317" s="16"/>
      <c r="O317" s="16"/>
      <c r="S317" s="83"/>
      <c r="T317" s="84"/>
      <c r="U317" s="81"/>
      <c r="V317" s="93"/>
      <c r="W317" s="93"/>
      <c r="Y317" s="12"/>
      <c r="Z317" s="13"/>
      <c r="AA317" s="13"/>
    </row>
    <row r="318" spans="2:27" x14ac:dyDescent="0.25">
      <c r="B318" s="14"/>
      <c r="M318" s="12"/>
      <c r="N318" s="16"/>
      <c r="O318" s="16"/>
      <c r="S318" s="83"/>
      <c r="T318" s="84"/>
      <c r="U318" s="81"/>
      <c r="V318" s="93"/>
      <c r="W318" s="93"/>
      <c r="Y318" s="12"/>
      <c r="Z318" s="13"/>
      <c r="AA318" s="13"/>
    </row>
    <row r="319" spans="2:27" x14ac:dyDescent="0.25">
      <c r="B319" s="14"/>
      <c r="M319" s="12"/>
      <c r="N319" s="16"/>
      <c r="O319" s="16"/>
      <c r="S319" s="83"/>
      <c r="T319" s="84"/>
      <c r="U319" s="81"/>
      <c r="V319" s="93"/>
      <c r="W319" s="93"/>
      <c r="Y319" s="12"/>
      <c r="Z319" s="13"/>
      <c r="AA319" s="13"/>
    </row>
    <row r="320" spans="2:27" x14ac:dyDescent="0.25">
      <c r="B320" s="14"/>
      <c r="M320" s="12"/>
      <c r="N320" s="16"/>
      <c r="O320" s="16"/>
      <c r="S320" s="83"/>
      <c r="T320" s="84"/>
      <c r="U320" s="81"/>
      <c r="V320" s="93"/>
      <c r="W320" s="93"/>
      <c r="Y320" s="12"/>
      <c r="Z320" s="13"/>
      <c r="AA320" s="13"/>
    </row>
    <row r="321" spans="2:27" x14ac:dyDescent="0.25">
      <c r="B321" s="14"/>
      <c r="M321" s="12"/>
      <c r="N321" s="16"/>
      <c r="O321" s="16"/>
      <c r="S321" s="83"/>
      <c r="T321" s="84"/>
      <c r="U321" s="81"/>
      <c r="V321" s="93"/>
      <c r="W321" s="93"/>
      <c r="Y321" s="12"/>
      <c r="Z321" s="13"/>
      <c r="AA321" s="13"/>
    </row>
    <row r="322" spans="2:27" x14ac:dyDescent="0.25">
      <c r="B322" s="14"/>
      <c r="M322" s="12"/>
      <c r="N322" s="16"/>
      <c r="O322" s="16"/>
      <c r="S322" s="83"/>
      <c r="T322" s="84"/>
      <c r="U322" s="81"/>
      <c r="V322" s="93"/>
      <c r="W322" s="93"/>
      <c r="Y322" s="12"/>
      <c r="Z322" s="13"/>
      <c r="AA322" s="13"/>
    </row>
    <row r="323" spans="2:27" x14ac:dyDescent="0.25">
      <c r="B323" s="14"/>
      <c r="M323" s="12"/>
      <c r="N323" s="16"/>
      <c r="O323" s="16"/>
      <c r="S323" s="83"/>
      <c r="T323" s="84"/>
      <c r="U323" s="81"/>
      <c r="V323" s="93"/>
      <c r="W323" s="93"/>
      <c r="Y323" s="12"/>
      <c r="Z323" s="13"/>
      <c r="AA323" s="13"/>
    </row>
    <row r="324" spans="2:27" x14ac:dyDescent="0.25">
      <c r="B324" s="14"/>
      <c r="M324" s="12"/>
      <c r="N324" s="16"/>
      <c r="O324" s="16"/>
      <c r="S324" s="83"/>
      <c r="T324" s="84"/>
      <c r="U324" s="81"/>
      <c r="V324" s="93"/>
      <c r="W324" s="93"/>
      <c r="Y324" s="12"/>
      <c r="Z324" s="13"/>
      <c r="AA324" s="13"/>
    </row>
    <row r="325" spans="2:27" x14ac:dyDescent="0.25">
      <c r="B325" s="14"/>
      <c r="M325" s="12"/>
      <c r="N325" s="16"/>
      <c r="O325" s="16"/>
      <c r="S325" s="83"/>
      <c r="T325" s="84"/>
      <c r="U325" s="81"/>
      <c r="V325" s="93"/>
      <c r="W325" s="93"/>
      <c r="Y325" s="12"/>
      <c r="Z325" s="13"/>
      <c r="AA325" s="13"/>
    </row>
    <row r="326" spans="2:27" x14ac:dyDescent="0.25">
      <c r="B326" s="14"/>
      <c r="M326" s="12"/>
      <c r="N326" s="16"/>
      <c r="O326" s="16"/>
      <c r="S326" s="83"/>
      <c r="T326" s="84"/>
      <c r="U326" s="81"/>
      <c r="V326" s="93"/>
      <c r="W326" s="93"/>
      <c r="Y326" s="12"/>
      <c r="Z326" s="13"/>
      <c r="AA326" s="13"/>
    </row>
    <row r="327" spans="2:27" x14ac:dyDescent="0.25">
      <c r="B327" s="14"/>
      <c r="M327" s="12"/>
      <c r="N327" s="16"/>
      <c r="O327" s="16"/>
      <c r="S327" s="83"/>
      <c r="T327" s="84"/>
      <c r="U327" s="81"/>
      <c r="V327" s="93"/>
      <c r="W327" s="93"/>
      <c r="Y327" s="12"/>
      <c r="Z327" s="13"/>
      <c r="AA327" s="13"/>
    </row>
    <row r="328" spans="2:27" x14ac:dyDescent="0.25">
      <c r="B328" s="14"/>
      <c r="M328" s="12"/>
      <c r="N328" s="16"/>
      <c r="O328" s="16"/>
      <c r="S328" s="83"/>
      <c r="T328" s="84"/>
      <c r="U328" s="81"/>
      <c r="V328" s="93"/>
      <c r="W328" s="93"/>
      <c r="Y328" s="12"/>
      <c r="Z328" s="13"/>
      <c r="AA328" s="13"/>
    </row>
    <row r="329" spans="2:27" x14ac:dyDescent="0.25">
      <c r="B329" s="14"/>
      <c r="M329" s="12"/>
      <c r="N329" s="16"/>
      <c r="O329" s="16"/>
      <c r="T329" s="15"/>
      <c r="U329" s="14"/>
      <c r="Y329" s="12"/>
      <c r="Z329" s="13"/>
      <c r="AA329" s="13"/>
    </row>
    <row r="330" spans="2:27" x14ac:dyDescent="0.25">
      <c r="B330" s="14"/>
      <c r="M330" s="12"/>
      <c r="N330" s="16"/>
      <c r="O330" s="16"/>
      <c r="T330" s="15"/>
      <c r="U330" s="14"/>
      <c r="Y330" s="12"/>
      <c r="Z330" s="13"/>
      <c r="AA330" s="13"/>
    </row>
    <row r="331" spans="2:27" x14ac:dyDescent="0.25">
      <c r="B331" s="14"/>
      <c r="M331" s="12"/>
      <c r="N331" s="16"/>
      <c r="O331" s="16"/>
      <c r="T331" s="15"/>
      <c r="U331" s="14"/>
      <c r="Y331" s="12"/>
      <c r="Z331" s="13"/>
      <c r="AA331" s="13"/>
    </row>
    <row r="332" spans="2:27" x14ac:dyDescent="0.25">
      <c r="B332" s="14"/>
      <c r="M332" s="12"/>
      <c r="N332" s="16"/>
      <c r="O332" s="16"/>
      <c r="T332" s="15"/>
      <c r="U332" s="14"/>
      <c r="Z332" s="14"/>
      <c r="AA332" s="14"/>
    </row>
    <row r="333" spans="2:27" x14ac:dyDescent="0.25">
      <c r="B333" s="14"/>
      <c r="M333" s="12"/>
      <c r="N333" s="16"/>
      <c r="O333" s="16"/>
      <c r="T333" s="15"/>
      <c r="U333" s="14"/>
      <c r="Z333" s="14"/>
      <c r="AA333" s="14"/>
    </row>
    <row r="334" spans="2:27" x14ac:dyDescent="0.25">
      <c r="B334" s="14"/>
      <c r="M334" s="12"/>
      <c r="N334" s="16"/>
      <c r="O334" s="16"/>
      <c r="T334" s="15"/>
      <c r="U334" s="14"/>
      <c r="Z334" s="14"/>
      <c r="AA334" s="14"/>
    </row>
    <row r="335" spans="2:27" x14ac:dyDescent="0.25">
      <c r="B335" s="14"/>
      <c r="M335" s="12"/>
      <c r="N335" s="16"/>
      <c r="O335" s="16"/>
      <c r="T335" s="15"/>
      <c r="U335" s="14"/>
      <c r="Z335" s="14"/>
      <c r="AA335" s="14"/>
    </row>
    <row r="336" spans="2:27" x14ac:dyDescent="0.25">
      <c r="B336" s="14"/>
      <c r="M336" s="12"/>
      <c r="N336" s="16"/>
      <c r="O336" s="16"/>
      <c r="T336" s="15"/>
      <c r="U336" s="14"/>
      <c r="Z336" s="14"/>
      <c r="AA336" s="14"/>
    </row>
    <row r="337" spans="2:27" x14ac:dyDescent="0.25">
      <c r="B337" s="14"/>
      <c r="M337" s="12"/>
      <c r="N337" s="16"/>
      <c r="O337" s="16"/>
      <c r="T337" s="15"/>
      <c r="U337" s="14"/>
      <c r="Z337" s="14"/>
      <c r="AA337" s="14"/>
    </row>
    <row r="338" spans="2:27" x14ac:dyDescent="0.25">
      <c r="B338" s="14"/>
      <c r="M338" s="12"/>
      <c r="N338" s="16"/>
      <c r="O338" s="16"/>
      <c r="T338" s="15"/>
      <c r="U338" s="14"/>
      <c r="Z338" s="14"/>
      <c r="AA338" s="14"/>
    </row>
    <row r="339" spans="2:27" x14ac:dyDescent="0.25">
      <c r="B339" s="14"/>
      <c r="M339" s="12"/>
      <c r="N339" s="16"/>
      <c r="O339" s="16"/>
      <c r="T339" s="15"/>
      <c r="U339" s="14"/>
      <c r="Z339" s="14"/>
      <c r="AA339" s="14"/>
    </row>
    <row r="340" spans="2:27" x14ac:dyDescent="0.25">
      <c r="B340" s="14"/>
      <c r="M340" s="12"/>
      <c r="N340" s="16"/>
      <c r="O340" s="16"/>
      <c r="T340" s="15"/>
      <c r="U340" s="14"/>
      <c r="Z340" s="14"/>
      <c r="AA340" s="14"/>
    </row>
    <row r="341" spans="2:27" x14ac:dyDescent="0.25">
      <c r="B341" s="14"/>
      <c r="M341" s="12"/>
      <c r="N341" s="16"/>
      <c r="O341" s="16"/>
      <c r="T341" s="15"/>
      <c r="U341" s="14"/>
      <c r="Z341" s="14"/>
      <c r="AA341" s="14"/>
    </row>
    <row r="342" spans="2:27" x14ac:dyDescent="0.25">
      <c r="B342" s="14"/>
      <c r="M342" s="12"/>
      <c r="N342" s="16"/>
      <c r="O342" s="16"/>
      <c r="T342" s="15"/>
      <c r="U342" s="14"/>
      <c r="Z342" s="14"/>
      <c r="AA342" s="14"/>
    </row>
    <row r="343" spans="2:27" x14ac:dyDescent="0.25">
      <c r="B343" s="14"/>
      <c r="M343" s="12"/>
      <c r="N343" s="16"/>
      <c r="O343" s="16"/>
      <c r="T343" s="15"/>
      <c r="U343" s="14"/>
      <c r="Z343" s="14"/>
      <c r="AA343" s="14"/>
    </row>
    <row r="344" spans="2:27" x14ac:dyDescent="0.25">
      <c r="B344" s="14"/>
      <c r="M344" s="12"/>
      <c r="N344" s="16"/>
      <c r="O344" s="16"/>
      <c r="T344" s="15"/>
      <c r="U344" s="14"/>
      <c r="Z344" s="14"/>
      <c r="AA344" s="14"/>
    </row>
    <row r="345" spans="2:27" x14ac:dyDescent="0.25">
      <c r="B345" s="14"/>
      <c r="M345" s="12"/>
      <c r="N345" s="16"/>
      <c r="O345" s="16"/>
      <c r="T345" s="15"/>
      <c r="U345" s="14"/>
      <c r="Z345" s="14"/>
      <c r="AA345" s="14"/>
    </row>
    <row r="346" spans="2:27" x14ac:dyDescent="0.25">
      <c r="B346" s="14"/>
      <c r="M346" s="12"/>
      <c r="N346" s="16"/>
      <c r="O346" s="16"/>
      <c r="T346" s="15"/>
      <c r="U346" s="14"/>
      <c r="Z346" s="14"/>
      <c r="AA346" s="14"/>
    </row>
    <row r="347" spans="2:27" x14ac:dyDescent="0.25">
      <c r="B347" s="14"/>
      <c r="M347" s="12"/>
      <c r="N347" s="16"/>
      <c r="O347" s="16"/>
      <c r="T347" s="15"/>
      <c r="U347" s="14"/>
      <c r="Z347" s="14"/>
      <c r="AA347" s="14"/>
    </row>
    <row r="348" spans="2:27" x14ac:dyDescent="0.25">
      <c r="B348" s="14"/>
      <c r="M348" s="12"/>
      <c r="N348" s="16"/>
      <c r="O348" s="16"/>
      <c r="T348" s="15"/>
      <c r="U348" s="14"/>
      <c r="Z348" s="14"/>
      <c r="AA348" s="14"/>
    </row>
    <row r="349" spans="2:27" x14ac:dyDescent="0.25">
      <c r="B349" s="14"/>
      <c r="M349" s="12"/>
      <c r="N349" s="16"/>
      <c r="O349" s="16"/>
      <c r="T349" s="15"/>
      <c r="U349" s="14"/>
      <c r="Z349" s="14"/>
      <c r="AA349" s="14"/>
    </row>
    <row r="350" spans="2:27" x14ac:dyDescent="0.25">
      <c r="B350" s="14"/>
      <c r="M350" s="12"/>
      <c r="N350" s="16"/>
      <c r="O350" s="16"/>
      <c r="T350" s="15"/>
      <c r="U350" s="14"/>
      <c r="Z350" s="14"/>
      <c r="AA350" s="14"/>
    </row>
    <row r="351" spans="2:27" x14ac:dyDescent="0.25">
      <c r="B351" s="14"/>
      <c r="M351" s="12"/>
      <c r="N351" s="16"/>
      <c r="O351" s="16"/>
      <c r="T351" s="15"/>
      <c r="U351" s="14"/>
      <c r="Z351" s="14"/>
      <c r="AA351" s="14"/>
    </row>
    <row r="352" spans="2:27" x14ac:dyDescent="0.25">
      <c r="B352" s="14"/>
      <c r="M352" s="12"/>
      <c r="N352" s="16"/>
      <c r="O352" s="16"/>
      <c r="T352" s="15"/>
      <c r="U352" s="14"/>
      <c r="Z352" s="14"/>
      <c r="AA352" s="14"/>
    </row>
    <row r="353" spans="2:27" x14ac:dyDescent="0.25">
      <c r="B353" s="14"/>
      <c r="M353" s="12"/>
      <c r="N353" s="16"/>
      <c r="O353" s="16"/>
      <c r="T353" s="15"/>
      <c r="U353" s="14"/>
      <c r="Z353" s="14"/>
      <c r="AA353" s="14"/>
    </row>
    <row r="354" spans="2:27" x14ac:dyDescent="0.25">
      <c r="B354" s="14"/>
      <c r="M354" s="12"/>
      <c r="N354" s="16"/>
      <c r="O354" s="16"/>
      <c r="T354" s="15"/>
      <c r="U354" s="14"/>
      <c r="Z354" s="14"/>
      <c r="AA354" s="14"/>
    </row>
    <row r="355" spans="2:27" x14ac:dyDescent="0.25">
      <c r="B355" s="14"/>
      <c r="M355" s="12"/>
      <c r="N355" s="16"/>
      <c r="O355" s="16"/>
      <c r="T355" s="15"/>
      <c r="U355" s="14"/>
      <c r="Z355" s="14"/>
      <c r="AA355" s="14"/>
    </row>
    <row r="356" spans="2:27" x14ac:dyDescent="0.25">
      <c r="B356" s="14"/>
      <c r="M356" s="12"/>
      <c r="N356" s="16"/>
      <c r="O356" s="16"/>
      <c r="T356" s="15"/>
      <c r="U356" s="14"/>
      <c r="Z356" s="14"/>
      <c r="AA356" s="14"/>
    </row>
    <row r="357" spans="2:27" x14ac:dyDescent="0.25">
      <c r="B357" s="14"/>
      <c r="M357" s="12"/>
      <c r="N357" s="16"/>
      <c r="O357" s="16"/>
      <c r="T357" s="15"/>
      <c r="U357" s="14"/>
      <c r="Z357" s="14"/>
      <c r="AA357" s="14"/>
    </row>
    <row r="358" spans="2:27" x14ac:dyDescent="0.25">
      <c r="B358" s="14"/>
      <c r="M358" s="12"/>
      <c r="N358" s="16"/>
      <c r="O358" s="16"/>
      <c r="T358" s="15"/>
      <c r="U358" s="14"/>
      <c r="Z358" s="14"/>
      <c r="AA358" s="14"/>
    </row>
    <row r="359" spans="2:27" x14ac:dyDescent="0.25">
      <c r="B359" s="14"/>
      <c r="M359" s="12"/>
      <c r="N359" s="16"/>
      <c r="O359" s="16"/>
      <c r="T359" s="15"/>
      <c r="U359" s="14"/>
      <c r="Z359" s="14"/>
      <c r="AA359" s="14"/>
    </row>
    <row r="360" spans="2:27" x14ac:dyDescent="0.25">
      <c r="B360" s="14"/>
      <c r="N360" s="15"/>
      <c r="O360" s="15"/>
      <c r="T360" s="15"/>
      <c r="U360" s="14"/>
      <c r="Z360" s="14"/>
      <c r="AA360" s="14"/>
    </row>
    <row r="361" spans="2:27" x14ac:dyDescent="0.25">
      <c r="B361" s="14"/>
      <c r="N361" s="15"/>
      <c r="O361" s="15"/>
      <c r="T361" s="15"/>
      <c r="U361" s="14"/>
      <c r="Z361" s="14"/>
      <c r="AA361" s="14"/>
    </row>
    <row r="362" spans="2:27" x14ac:dyDescent="0.25">
      <c r="B362" s="14"/>
      <c r="N362" s="15"/>
      <c r="O362" s="15"/>
      <c r="T362" s="15"/>
      <c r="U362" s="14"/>
      <c r="Z362" s="14"/>
      <c r="AA362" s="14"/>
    </row>
    <row r="363" spans="2:27" x14ac:dyDescent="0.25">
      <c r="B363" s="14"/>
      <c r="N363" s="15"/>
      <c r="O363" s="15"/>
      <c r="T363" s="15"/>
      <c r="U363" s="14"/>
      <c r="Z363" s="14"/>
      <c r="AA363" s="14"/>
    </row>
    <row r="364" spans="2:27" x14ac:dyDescent="0.25">
      <c r="B364" s="14"/>
      <c r="N364" s="15"/>
      <c r="O364" s="15"/>
      <c r="T364" s="15"/>
      <c r="U364" s="14"/>
      <c r="Z364" s="14"/>
      <c r="AA364" s="14"/>
    </row>
    <row r="365" spans="2:27" x14ac:dyDescent="0.25">
      <c r="B365" s="14"/>
      <c r="N365" s="15"/>
      <c r="O365" s="15"/>
      <c r="T365" s="15"/>
      <c r="U365" s="14"/>
      <c r="Z365" s="14"/>
      <c r="AA365" s="14"/>
    </row>
    <row r="366" spans="2:27" x14ac:dyDescent="0.25">
      <c r="B366" s="14"/>
      <c r="N366" s="15"/>
      <c r="O366" s="15"/>
      <c r="T366" s="15"/>
      <c r="U366" s="14"/>
      <c r="Z366" s="14"/>
      <c r="AA366" s="14"/>
    </row>
    <row r="367" spans="2:27" x14ac:dyDescent="0.25">
      <c r="B367" s="14"/>
      <c r="N367" s="15"/>
      <c r="O367" s="15"/>
      <c r="T367" s="15"/>
      <c r="U367" s="14"/>
      <c r="Z367" s="14"/>
      <c r="AA367" s="14"/>
    </row>
    <row r="368" spans="2:27" x14ac:dyDescent="0.25">
      <c r="B368" s="14"/>
      <c r="N368" s="15"/>
      <c r="O368" s="15"/>
      <c r="T368" s="15"/>
      <c r="U368" s="14"/>
      <c r="Z368" s="14"/>
      <c r="AA368" s="14"/>
    </row>
    <row r="369" spans="2:27" x14ac:dyDescent="0.25">
      <c r="B369" s="14"/>
      <c r="N369" s="15"/>
      <c r="O369" s="15"/>
      <c r="T369" s="15"/>
      <c r="U369" s="14"/>
      <c r="Z369" s="14"/>
      <c r="AA369" s="14"/>
    </row>
    <row r="370" spans="2:27" x14ac:dyDescent="0.25">
      <c r="B370" s="14"/>
      <c r="N370" s="15"/>
      <c r="O370" s="15"/>
      <c r="T370" s="15"/>
      <c r="U370" s="14"/>
      <c r="Z370" s="14"/>
      <c r="AA370" s="14"/>
    </row>
    <row r="371" spans="2:27" x14ac:dyDescent="0.25">
      <c r="B371" s="14"/>
      <c r="N371" s="15"/>
      <c r="O371" s="15"/>
      <c r="T371" s="15"/>
      <c r="U371" s="14"/>
      <c r="Z371" s="14"/>
      <c r="AA371" s="14"/>
    </row>
    <row r="372" spans="2:27" x14ac:dyDescent="0.25">
      <c r="B372" s="14"/>
      <c r="N372" s="15"/>
      <c r="O372" s="15"/>
      <c r="T372" s="15"/>
      <c r="U372" s="14"/>
      <c r="Z372" s="14"/>
      <c r="AA372" s="14"/>
    </row>
    <row r="373" spans="2:27" x14ac:dyDescent="0.25">
      <c r="B373" s="14"/>
      <c r="N373" s="15"/>
      <c r="O373" s="15"/>
      <c r="T373" s="15"/>
      <c r="U373" s="14"/>
      <c r="Z373" s="14"/>
      <c r="AA373" s="14"/>
    </row>
    <row r="374" spans="2:27" x14ac:dyDescent="0.25">
      <c r="B374" s="14"/>
      <c r="N374" s="15"/>
      <c r="O374" s="15"/>
      <c r="T374" s="15"/>
      <c r="U374" s="14"/>
      <c r="Z374" s="14"/>
      <c r="AA374" s="14"/>
    </row>
    <row r="375" spans="2:27" x14ac:dyDescent="0.25">
      <c r="B375" s="14"/>
      <c r="N375" s="15"/>
      <c r="O375" s="15"/>
      <c r="T375" s="15"/>
      <c r="U375" s="14"/>
      <c r="Z375" s="14"/>
      <c r="AA375" s="14"/>
    </row>
    <row r="376" spans="2:27" x14ac:dyDescent="0.25">
      <c r="B376" s="14"/>
      <c r="N376" s="15"/>
      <c r="O376" s="15"/>
      <c r="T376" s="15"/>
      <c r="U376" s="14"/>
      <c r="Z376" s="14"/>
      <c r="AA376" s="14"/>
    </row>
    <row r="377" spans="2:27" x14ac:dyDescent="0.25">
      <c r="B377" s="14"/>
      <c r="N377" s="15"/>
      <c r="O377" s="15"/>
      <c r="T377" s="15"/>
      <c r="U377" s="14"/>
      <c r="Z377" s="14"/>
      <c r="AA377" s="14"/>
    </row>
    <row r="378" spans="2:27" x14ac:dyDescent="0.25">
      <c r="B378" s="14"/>
      <c r="N378" s="15"/>
      <c r="O378" s="15"/>
      <c r="T378" s="15"/>
      <c r="U378" s="14"/>
      <c r="Z378" s="14"/>
      <c r="AA378" s="14"/>
    </row>
    <row r="379" spans="2:27" x14ac:dyDescent="0.25">
      <c r="B379" s="14"/>
      <c r="N379" s="15"/>
      <c r="O379" s="15"/>
      <c r="T379" s="15"/>
      <c r="U379" s="14"/>
      <c r="Z379" s="14"/>
      <c r="AA379" s="14"/>
    </row>
    <row r="380" spans="2:27" x14ac:dyDescent="0.25">
      <c r="B380" s="14"/>
      <c r="N380" s="15"/>
      <c r="O380" s="15"/>
      <c r="T380" s="15"/>
      <c r="U380" s="14"/>
      <c r="Z380" s="14"/>
      <c r="AA380" s="14"/>
    </row>
    <row r="381" spans="2:27" x14ac:dyDescent="0.25">
      <c r="B381" s="14"/>
      <c r="N381" s="15"/>
      <c r="O381" s="15"/>
      <c r="T381" s="15"/>
      <c r="U381" s="14"/>
      <c r="Z381" s="14"/>
      <c r="AA381" s="14"/>
    </row>
    <row r="382" spans="2:27" x14ac:dyDescent="0.25">
      <c r="B382" s="14"/>
      <c r="N382" s="15"/>
      <c r="O382" s="15"/>
      <c r="T382" s="15"/>
      <c r="U382" s="14"/>
      <c r="Z382" s="14"/>
      <c r="AA382" s="14"/>
    </row>
    <row r="383" spans="2:27" x14ac:dyDescent="0.25">
      <c r="B383" s="14"/>
      <c r="N383" s="15"/>
      <c r="O383" s="15"/>
      <c r="T383" s="15"/>
      <c r="U383" s="14"/>
      <c r="Z383" s="14"/>
      <c r="AA383" s="14"/>
    </row>
    <row r="384" spans="2:27" x14ac:dyDescent="0.25">
      <c r="B384" s="14"/>
      <c r="N384" s="15"/>
      <c r="O384" s="15"/>
      <c r="T384" s="15"/>
      <c r="U384" s="14"/>
      <c r="Z384" s="14"/>
      <c r="AA384" s="14"/>
    </row>
    <row r="385" spans="2:27" x14ac:dyDescent="0.25">
      <c r="B385" s="14"/>
      <c r="N385" s="15"/>
      <c r="O385" s="15"/>
      <c r="T385" s="15"/>
      <c r="U385" s="14"/>
      <c r="Z385" s="14"/>
      <c r="AA385" s="14"/>
    </row>
    <row r="386" spans="2:27" x14ac:dyDescent="0.25">
      <c r="B386" s="14"/>
      <c r="N386" s="15"/>
      <c r="O386" s="15"/>
      <c r="T386" s="15"/>
      <c r="U386" s="14"/>
      <c r="Z386" s="14"/>
      <c r="AA386" s="14"/>
    </row>
    <row r="387" spans="2:27" x14ac:dyDescent="0.25">
      <c r="B387" s="14"/>
      <c r="N387" s="15"/>
      <c r="O387" s="15"/>
      <c r="T387" s="15"/>
      <c r="U387" s="14"/>
      <c r="Z387" s="14"/>
      <c r="AA387" s="14"/>
    </row>
    <row r="388" spans="2:27" x14ac:dyDescent="0.25">
      <c r="B388" s="14"/>
      <c r="N388" s="15"/>
      <c r="O388" s="15"/>
      <c r="T388" s="15"/>
      <c r="U388" s="14"/>
      <c r="Z388" s="14"/>
      <c r="AA388" s="14"/>
    </row>
    <row r="389" spans="2:27" x14ac:dyDescent="0.25">
      <c r="B389" s="14"/>
      <c r="N389" s="15"/>
      <c r="O389" s="15"/>
      <c r="T389" s="15"/>
      <c r="U389" s="14"/>
      <c r="Z389" s="14"/>
      <c r="AA389" s="14"/>
    </row>
    <row r="390" spans="2:27" x14ac:dyDescent="0.25">
      <c r="B390" s="14"/>
      <c r="N390" s="15"/>
      <c r="O390" s="15"/>
      <c r="T390" s="15"/>
      <c r="U390" s="14"/>
      <c r="Z390" s="14"/>
      <c r="AA390" s="14"/>
    </row>
    <row r="391" spans="2:27" x14ac:dyDescent="0.25">
      <c r="B391" s="14"/>
      <c r="N391" s="15"/>
      <c r="O391" s="15"/>
      <c r="T391" s="15"/>
      <c r="U391" s="14"/>
      <c r="Z391" s="14"/>
      <c r="AA391" s="14"/>
    </row>
    <row r="392" spans="2:27" x14ac:dyDescent="0.25">
      <c r="B392" s="14"/>
      <c r="N392" s="15"/>
      <c r="O392" s="15"/>
      <c r="T392" s="15"/>
      <c r="U392" s="14"/>
      <c r="Z392" s="14"/>
      <c r="AA392" s="14"/>
    </row>
    <row r="393" spans="2:27" x14ac:dyDescent="0.25">
      <c r="B393" s="14"/>
      <c r="N393" s="15"/>
      <c r="O393" s="15"/>
      <c r="T393" s="15"/>
      <c r="U393" s="14"/>
      <c r="Z393" s="14"/>
      <c r="AA393" s="14"/>
    </row>
    <row r="394" spans="2:27" x14ac:dyDescent="0.25">
      <c r="B394" s="14"/>
      <c r="N394" s="15"/>
      <c r="O394" s="15"/>
      <c r="T394" s="15"/>
      <c r="U394" s="14"/>
      <c r="Z394" s="14"/>
      <c r="AA394" s="14"/>
    </row>
    <row r="395" spans="2:27" x14ac:dyDescent="0.25">
      <c r="B395" s="14"/>
      <c r="N395" s="15"/>
      <c r="O395" s="15"/>
      <c r="T395" s="15"/>
      <c r="U395" s="14"/>
      <c r="Z395" s="14"/>
      <c r="AA395" s="14"/>
    </row>
    <row r="396" spans="2:27" x14ac:dyDescent="0.25">
      <c r="B396" s="14"/>
      <c r="N396" s="15"/>
      <c r="O396" s="15"/>
      <c r="T396" s="15"/>
      <c r="U396" s="14"/>
      <c r="Z396" s="14"/>
      <c r="AA396" s="14"/>
    </row>
    <row r="397" spans="2:27" x14ac:dyDescent="0.25">
      <c r="B397" s="14"/>
      <c r="N397" s="15"/>
      <c r="O397" s="15"/>
      <c r="T397" s="15"/>
      <c r="U397" s="14"/>
      <c r="Z397" s="14"/>
      <c r="AA397" s="14"/>
    </row>
    <row r="398" spans="2:27" x14ac:dyDescent="0.25">
      <c r="B398" s="14"/>
      <c r="N398" s="15"/>
      <c r="O398" s="15"/>
      <c r="T398" s="15"/>
      <c r="U398" s="14"/>
      <c r="Z398" s="14"/>
      <c r="AA398" s="14"/>
    </row>
    <row r="399" spans="2:27" x14ac:dyDescent="0.25">
      <c r="B399" s="14"/>
      <c r="N399" s="15"/>
      <c r="O399" s="15"/>
      <c r="T399" s="15"/>
      <c r="U399" s="14"/>
      <c r="Z399" s="14"/>
      <c r="AA399" s="14"/>
    </row>
    <row r="400" spans="2:27" x14ac:dyDescent="0.25">
      <c r="B400" s="14"/>
      <c r="N400" s="15"/>
      <c r="O400" s="15"/>
      <c r="T400" s="15"/>
      <c r="U400" s="14"/>
      <c r="Z400" s="14"/>
      <c r="AA400" s="14"/>
    </row>
    <row r="401" spans="2:27" x14ac:dyDescent="0.25">
      <c r="B401" s="14"/>
      <c r="N401" s="15"/>
      <c r="O401" s="15"/>
      <c r="T401" s="15"/>
      <c r="U401" s="14"/>
      <c r="Z401" s="14"/>
      <c r="AA401" s="14"/>
    </row>
    <row r="402" spans="2:27" x14ac:dyDescent="0.25">
      <c r="B402" s="14"/>
      <c r="N402" s="15"/>
      <c r="O402" s="15"/>
      <c r="T402" s="15"/>
      <c r="U402" s="14"/>
      <c r="Z402" s="14"/>
      <c r="AA402" s="14"/>
    </row>
    <row r="403" spans="2:27" x14ac:dyDescent="0.25">
      <c r="B403" s="14"/>
      <c r="N403" s="15"/>
      <c r="O403" s="15"/>
      <c r="T403" s="15"/>
      <c r="U403" s="14"/>
      <c r="Z403" s="14"/>
      <c r="AA403" s="14"/>
    </row>
    <row r="404" spans="2:27" x14ac:dyDescent="0.25">
      <c r="B404" s="14"/>
      <c r="N404" s="15"/>
      <c r="O404" s="15"/>
      <c r="T404" s="15"/>
      <c r="U404" s="14"/>
      <c r="Z404" s="14"/>
      <c r="AA404" s="14"/>
    </row>
    <row r="405" spans="2:27" x14ac:dyDescent="0.25">
      <c r="B405" s="14"/>
      <c r="N405" s="15"/>
      <c r="O405" s="15"/>
      <c r="T405" s="15"/>
      <c r="U405" s="14"/>
      <c r="Z405" s="14"/>
      <c r="AA405" s="14"/>
    </row>
    <row r="406" spans="2:27" x14ac:dyDescent="0.25">
      <c r="B406" s="14"/>
      <c r="N406" s="15"/>
      <c r="O406" s="15"/>
      <c r="T406" s="15"/>
      <c r="U406" s="14"/>
      <c r="Z406" s="14"/>
      <c r="AA406" s="14"/>
    </row>
    <row r="407" spans="2:27" x14ac:dyDescent="0.25">
      <c r="B407" s="14"/>
      <c r="N407" s="15"/>
      <c r="O407" s="15"/>
      <c r="T407" s="15"/>
      <c r="U407" s="14"/>
      <c r="Z407" s="14"/>
      <c r="AA407" s="14"/>
    </row>
    <row r="408" spans="2:27" x14ac:dyDescent="0.25">
      <c r="B408" s="14"/>
      <c r="N408" s="15"/>
      <c r="O408" s="15"/>
      <c r="T408" s="15"/>
      <c r="U408" s="14"/>
      <c r="Z408" s="14"/>
      <c r="AA408" s="14"/>
    </row>
    <row r="409" spans="2:27" x14ac:dyDescent="0.25">
      <c r="B409" s="14"/>
      <c r="N409" s="15"/>
      <c r="O409" s="15"/>
      <c r="T409" s="15"/>
      <c r="U409" s="14"/>
      <c r="Z409" s="14"/>
      <c r="AA409" s="14"/>
    </row>
    <row r="410" spans="2:27" x14ac:dyDescent="0.25">
      <c r="B410" s="14"/>
      <c r="N410" s="15"/>
      <c r="O410" s="15"/>
      <c r="T410" s="15"/>
      <c r="U410" s="14"/>
      <c r="Z410" s="14"/>
      <c r="AA410" s="14"/>
    </row>
    <row r="411" spans="2:27" x14ac:dyDescent="0.25">
      <c r="B411" s="14"/>
      <c r="N411" s="15"/>
      <c r="O411" s="15"/>
      <c r="T411" s="15"/>
      <c r="U411" s="14"/>
      <c r="Z411" s="14"/>
      <c r="AA411" s="14"/>
    </row>
    <row r="412" spans="2:27" x14ac:dyDescent="0.25">
      <c r="B412" s="14"/>
      <c r="N412" s="15"/>
      <c r="O412" s="15"/>
      <c r="T412" s="15"/>
      <c r="U412" s="14"/>
      <c r="Z412" s="14"/>
      <c r="AA412" s="14"/>
    </row>
    <row r="413" spans="2:27" x14ac:dyDescent="0.25">
      <c r="B413" s="14"/>
      <c r="N413" s="15"/>
      <c r="O413" s="15"/>
      <c r="T413" s="15"/>
      <c r="U413" s="14"/>
      <c r="Z413" s="14"/>
      <c r="AA413" s="14"/>
    </row>
    <row r="414" spans="2:27" x14ac:dyDescent="0.25">
      <c r="B414" s="14"/>
      <c r="N414" s="15"/>
      <c r="O414" s="15"/>
      <c r="T414" s="15"/>
      <c r="U414" s="14"/>
      <c r="Z414" s="14"/>
      <c r="AA414" s="14"/>
    </row>
    <row r="415" spans="2:27" x14ac:dyDescent="0.25">
      <c r="B415" s="14"/>
      <c r="N415" s="15"/>
      <c r="O415" s="15"/>
      <c r="T415" s="15"/>
      <c r="U415" s="14"/>
      <c r="Z415" s="14"/>
      <c r="AA415" s="14"/>
    </row>
    <row r="416" spans="2:27" x14ac:dyDescent="0.25">
      <c r="B416" s="14"/>
      <c r="N416" s="15"/>
      <c r="O416" s="15"/>
      <c r="T416" s="15"/>
      <c r="U416" s="14"/>
      <c r="Z416" s="14"/>
      <c r="AA416" s="14"/>
    </row>
    <row r="417" spans="2:27" x14ac:dyDescent="0.25">
      <c r="B417" s="14"/>
      <c r="N417" s="15"/>
      <c r="O417" s="15"/>
      <c r="T417" s="15"/>
      <c r="U417" s="14"/>
      <c r="Z417" s="14"/>
      <c r="AA417" s="14"/>
    </row>
    <row r="418" spans="2:27" x14ac:dyDescent="0.25">
      <c r="B418" s="14"/>
      <c r="N418" s="15"/>
      <c r="O418" s="15"/>
      <c r="T418" s="15"/>
      <c r="U418" s="14"/>
      <c r="Z418" s="14"/>
      <c r="AA418" s="14"/>
    </row>
    <row r="419" spans="2:27" x14ac:dyDescent="0.25">
      <c r="B419" s="14"/>
      <c r="N419" s="15"/>
      <c r="O419" s="15"/>
      <c r="T419" s="15"/>
      <c r="U419" s="14"/>
      <c r="Z419" s="14"/>
      <c r="AA419" s="14"/>
    </row>
    <row r="420" spans="2:27" x14ac:dyDescent="0.25">
      <c r="B420" s="14"/>
      <c r="N420" s="15"/>
      <c r="O420" s="15"/>
      <c r="T420" s="15"/>
      <c r="U420" s="14"/>
      <c r="Z420" s="14"/>
      <c r="AA420" s="14"/>
    </row>
    <row r="421" spans="2:27" x14ac:dyDescent="0.25">
      <c r="B421" s="14"/>
      <c r="N421" s="15"/>
      <c r="O421" s="15"/>
      <c r="T421" s="15"/>
      <c r="U421" s="14"/>
      <c r="Z421" s="14"/>
      <c r="AA421" s="14"/>
    </row>
    <row r="422" spans="2:27" x14ac:dyDescent="0.25">
      <c r="B422" s="14"/>
      <c r="N422" s="15"/>
      <c r="O422" s="15"/>
      <c r="T422" s="15"/>
      <c r="U422" s="14"/>
      <c r="Z422" s="14"/>
      <c r="AA422" s="14"/>
    </row>
    <row r="423" spans="2:27" x14ac:dyDescent="0.25">
      <c r="B423" s="14"/>
      <c r="N423" s="15"/>
      <c r="O423" s="15"/>
      <c r="T423" s="15"/>
      <c r="U423" s="14"/>
      <c r="Z423" s="14"/>
      <c r="AA423" s="14"/>
    </row>
    <row r="424" spans="2:27" x14ac:dyDescent="0.25">
      <c r="B424" s="14"/>
      <c r="N424" s="15"/>
      <c r="O424" s="15"/>
      <c r="T424" s="15"/>
      <c r="U424" s="14"/>
      <c r="Z424" s="14"/>
      <c r="AA424" s="14"/>
    </row>
    <row r="425" spans="2:27" x14ac:dyDescent="0.25">
      <c r="B425" s="14"/>
      <c r="N425" s="15"/>
      <c r="O425" s="15"/>
      <c r="T425" s="15"/>
      <c r="U425" s="14"/>
      <c r="Z425" s="14"/>
      <c r="AA425" s="14"/>
    </row>
    <row r="426" spans="2:27" x14ac:dyDescent="0.25">
      <c r="B426" s="14"/>
      <c r="N426" s="15"/>
      <c r="O426" s="15"/>
      <c r="T426" s="15"/>
      <c r="U426" s="14"/>
      <c r="Z426" s="14"/>
      <c r="AA426" s="14"/>
    </row>
    <row r="427" spans="2:27" x14ac:dyDescent="0.25">
      <c r="B427" s="14"/>
      <c r="N427" s="15"/>
      <c r="O427" s="15"/>
      <c r="T427" s="15"/>
      <c r="U427" s="14"/>
      <c r="Z427" s="14"/>
      <c r="AA427" s="14"/>
    </row>
    <row r="428" spans="2:27" x14ac:dyDescent="0.25">
      <c r="B428" s="14"/>
      <c r="N428" s="15"/>
      <c r="O428" s="15"/>
      <c r="T428" s="15"/>
      <c r="U428" s="14"/>
      <c r="Z428" s="14"/>
      <c r="AA428" s="14"/>
    </row>
    <row r="429" spans="2:27" x14ac:dyDescent="0.25">
      <c r="B429" s="14"/>
      <c r="N429" s="15"/>
      <c r="O429" s="15"/>
      <c r="T429" s="15"/>
      <c r="U429" s="14"/>
      <c r="Z429" s="14"/>
      <c r="AA429" s="14"/>
    </row>
    <row r="430" spans="2:27" x14ac:dyDescent="0.25">
      <c r="B430" s="14"/>
      <c r="N430" s="15"/>
      <c r="O430" s="15"/>
      <c r="T430" s="15"/>
      <c r="U430" s="14"/>
      <c r="Z430" s="14"/>
      <c r="AA430" s="14"/>
    </row>
    <row r="431" spans="2:27" x14ac:dyDescent="0.25">
      <c r="B431" s="14"/>
      <c r="N431" s="15"/>
      <c r="O431" s="15"/>
      <c r="T431" s="15"/>
      <c r="U431" s="14"/>
      <c r="Z431" s="14"/>
      <c r="AA431" s="14"/>
    </row>
    <row r="432" spans="2:27" x14ac:dyDescent="0.25">
      <c r="B432" s="14"/>
      <c r="N432" s="15"/>
      <c r="O432" s="15"/>
      <c r="T432" s="15"/>
      <c r="U432" s="14"/>
      <c r="Z432" s="14"/>
      <c r="AA432" s="14"/>
    </row>
    <row r="433" spans="2:27" x14ac:dyDescent="0.25">
      <c r="B433" s="14"/>
      <c r="N433" s="15"/>
      <c r="O433" s="15"/>
      <c r="T433" s="15"/>
      <c r="U433" s="14"/>
      <c r="Z433" s="14"/>
      <c r="AA433" s="14"/>
    </row>
    <row r="434" spans="2:27" x14ac:dyDescent="0.25">
      <c r="B434" s="14"/>
      <c r="N434" s="15"/>
      <c r="O434" s="15"/>
      <c r="T434" s="15"/>
      <c r="U434" s="14"/>
      <c r="Z434" s="14"/>
      <c r="AA434" s="14"/>
    </row>
    <row r="435" spans="2:27" x14ac:dyDescent="0.25">
      <c r="B435" s="14"/>
      <c r="N435" s="15"/>
      <c r="O435" s="15"/>
      <c r="T435" s="15"/>
      <c r="U435" s="14"/>
      <c r="Z435" s="14"/>
      <c r="AA435" s="14"/>
    </row>
    <row r="436" spans="2:27" x14ac:dyDescent="0.25">
      <c r="B436" s="14"/>
      <c r="N436" s="15"/>
      <c r="O436" s="15"/>
      <c r="T436" s="15"/>
      <c r="U436" s="14"/>
      <c r="Z436" s="14"/>
      <c r="AA436" s="14"/>
    </row>
    <row r="437" spans="2:27" x14ac:dyDescent="0.25">
      <c r="B437" s="14"/>
      <c r="N437" s="15"/>
      <c r="O437" s="15"/>
      <c r="T437" s="15"/>
      <c r="U437" s="14"/>
      <c r="Z437" s="14"/>
      <c r="AA437" s="14"/>
    </row>
    <row r="438" spans="2:27" x14ac:dyDescent="0.25">
      <c r="B438" s="14"/>
      <c r="N438" s="15"/>
      <c r="O438" s="15"/>
      <c r="T438" s="15"/>
      <c r="U438" s="14"/>
      <c r="Z438" s="14"/>
      <c r="AA438" s="14"/>
    </row>
    <row r="439" spans="2:27" x14ac:dyDescent="0.25">
      <c r="B439" s="14"/>
      <c r="N439" s="15"/>
      <c r="O439" s="15"/>
      <c r="T439" s="15"/>
      <c r="U439" s="14"/>
      <c r="Z439" s="14"/>
      <c r="AA439" s="14"/>
    </row>
    <row r="440" spans="2:27" x14ac:dyDescent="0.25">
      <c r="B440" s="14"/>
      <c r="N440" s="15"/>
      <c r="O440" s="15"/>
      <c r="T440" s="15"/>
      <c r="U440" s="14"/>
      <c r="Z440" s="14"/>
      <c r="AA440" s="14"/>
    </row>
    <row r="441" spans="2:27" x14ac:dyDescent="0.25">
      <c r="B441" s="14"/>
      <c r="N441" s="15"/>
      <c r="O441" s="15"/>
      <c r="T441" s="15"/>
      <c r="U441" s="14"/>
      <c r="Z441" s="14"/>
      <c r="AA441" s="14"/>
    </row>
    <row r="442" spans="2:27" x14ac:dyDescent="0.25">
      <c r="B442" s="14"/>
      <c r="N442" s="15"/>
      <c r="O442" s="15"/>
      <c r="T442" s="15"/>
      <c r="U442" s="14"/>
      <c r="Z442" s="14"/>
      <c r="AA442" s="14"/>
    </row>
    <row r="443" spans="2:27" x14ac:dyDescent="0.25">
      <c r="B443" s="14"/>
      <c r="N443" s="15"/>
      <c r="O443" s="15"/>
      <c r="T443" s="15"/>
      <c r="U443" s="14"/>
      <c r="Z443" s="14"/>
      <c r="AA443" s="14"/>
    </row>
    <row r="444" spans="2:27" x14ac:dyDescent="0.25">
      <c r="B444" s="14"/>
      <c r="N444" s="15"/>
      <c r="O444" s="15"/>
      <c r="T444" s="15"/>
      <c r="U444" s="14"/>
      <c r="Z444" s="14"/>
      <c r="AA444" s="14"/>
    </row>
    <row r="445" spans="2:27" x14ac:dyDescent="0.25">
      <c r="B445" s="14"/>
      <c r="N445" s="15"/>
      <c r="O445" s="15"/>
      <c r="T445" s="15"/>
      <c r="U445" s="14"/>
      <c r="Z445" s="14"/>
      <c r="AA445" s="14"/>
    </row>
    <row r="446" spans="2:27" x14ac:dyDescent="0.25">
      <c r="B446" s="14"/>
      <c r="N446" s="15"/>
      <c r="O446" s="15"/>
      <c r="T446" s="15"/>
      <c r="U446" s="14"/>
      <c r="Z446" s="14"/>
      <c r="AA446" s="14"/>
    </row>
    <row r="447" spans="2:27" x14ac:dyDescent="0.25">
      <c r="B447" s="14"/>
      <c r="N447" s="15"/>
      <c r="O447" s="15"/>
      <c r="T447" s="15"/>
      <c r="U447" s="14"/>
      <c r="Z447" s="14"/>
      <c r="AA447" s="14"/>
    </row>
    <row r="448" spans="2:27" x14ac:dyDescent="0.25">
      <c r="B448" s="14"/>
      <c r="N448" s="15"/>
      <c r="O448" s="15"/>
      <c r="T448" s="15"/>
      <c r="U448" s="14"/>
      <c r="Z448" s="14"/>
      <c r="AA448" s="14"/>
    </row>
    <row r="449" spans="2:27" x14ac:dyDescent="0.25">
      <c r="B449" s="14"/>
      <c r="N449" s="15"/>
      <c r="O449" s="15"/>
      <c r="T449" s="15"/>
      <c r="U449" s="14"/>
      <c r="Z449" s="14"/>
      <c r="AA449" s="14"/>
    </row>
    <row r="450" spans="2:27" x14ac:dyDescent="0.25">
      <c r="B450" s="14"/>
      <c r="N450" s="15"/>
      <c r="O450" s="15"/>
      <c r="T450" s="15"/>
      <c r="U450" s="14"/>
      <c r="Z450" s="14"/>
      <c r="AA450" s="14"/>
    </row>
    <row r="451" spans="2:27" x14ac:dyDescent="0.25">
      <c r="B451" s="14"/>
      <c r="N451" s="15"/>
      <c r="O451" s="15"/>
      <c r="T451" s="15"/>
      <c r="U451" s="14"/>
      <c r="Z451" s="14"/>
      <c r="AA451" s="14"/>
    </row>
    <row r="452" spans="2:27" x14ac:dyDescent="0.25">
      <c r="B452" s="14"/>
      <c r="N452" s="15"/>
      <c r="O452" s="15"/>
      <c r="T452" s="15"/>
      <c r="U452" s="14"/>
      <c r="Z452" s="14"/>
      <c r="AA452" s="14"/>
    </row>
    <row r="453" spans="2:27" x14ac:dyDescent="0.25">
      <c r="B453" s="14"/>
      <c r="N453" s="15"/>
      <c r="O453" s="15"/>
      <c r="T453" s="15"/>
      <c r="U453" s="14"/>
      <c r="Z453" s="14"/>
      <c r="AA453" s="14"/>
    </row>
    <row r="454" spans="2:27" x14ac:dyDescent="0.25">
      <c r="B454" s="14"/>
      <c r="N454" s="15"/>
      <c r="O454" s="15"/>
      <c r="T454" s="15"/>
      <c r="U454" s="14"/>
      <c r="Z454" s="14"/>
      <c r="AA454" s="14"/>
    </row>
    <row r="455" spans="2:27" x14ac:dyDescent="0.25">
      <c r="B455" s="14"/>
      <c r="N455" s="15"/>
      <c r="O455" s="15"/>
      <c r="T455" s="15"/>
      <c r="U455" s="14"/>
      <c r="Z455" s="14"/>
      <c r="AA455" s="14"/>
    </row>
    <row r="456" spans="2:27" x14ac:dyDescent="0.25">
      <c r="B456" s="14"/>
      <c r="N456" s="15"/>
      <c r="O456" s="15"/>
      <c r="T456" s="15"/>
      <c r="U456" s="14"/>
      <c r="Z456" s="14"/>
      <c r="AA456" s="14"/>
    </row>
    <row r="457" spans="2:27" x14ac:dyDescent="0.25">
      <c r="B457" s="14"/>
      <c r="N457" s="15"/>
      <c r="O457" s="15"/>
      <c r="T457" s="15"/>
      <c r="U457" s="14"/>
      <c r="Z457" s="14"/>
      <c r="AA457" s="14"/>
    </row>
    <row r="458" spans="2:27" x14ac:dyDescent="0.25">
      <c r="B458" s="14"/>
      <c r="N458" s="15"/>
      <c r="O458" s="15"/>
      <c r="T458" s="15"/>
      <c r="U458" s="14"/>
      <c r="Z458" s="14"/>
      <c r="AA458" s="14"/>
    </row>
    <row r="459" spans="2:27" x14ac:dyDescent="0.25">
      <c r="B459" s="14"/>
      <c r="N459" s="15"/>
      <c r="O459" s="15"/>
      <c r="T459" s="15"/>
      <c r="U459" s="14"/>
      <c r="Z459" s="14"/>
      <c r="AA459" s="14"/>
    </row>
    <row r="460" spans="2:27" x14ac:dyDescent="0.25">
      <c r="B460" s="14"/>
      <c r="N460" s="15"/>
      <c r="O460" s="15"/>
      <c r="T460" s="15"/>
      <c r="U460" s="14"/>
      <c r="Z460" s="14"/>
      <c r="AA460" s="14"/>
    </row>
    <row r="461" spans="2:27" x14ac:dyDescent="0.25">
      <c r="B461" s="14"/>
      <c r="N461" s="15"/>
      <c r="O461" s="15"/>
      <c r="T461" s="15"/>
      <c r="U461" s="14"/>
      <c r="Z461" s="14"/>
      <c r="AA461" s="14"/>
    </row>
    <row r="462" spans="2:27" x14ac:dyDescent="0.25">
      <c r="B462" s="14"/>
      <c r="N462" s="15"/>
      <c r="O462" s="15"/>
      <c r="T462" s="15"/>
      <c r="U462" s="14"/>
      <c r="Z462" s="14"/>
      <c r="AA462" s="14"/>
    </row>
    <row r="463" spans="2:27" x14ac:dyDescent="0.25">
      <c r="B463" s="14"/>
      <c r="N463" s="15"/>
      <c r="O463" s="15"/>
      <c r="T463" s="15"/>
      <c r="U463" s="14"/>
      <c r="Z463" s="14"/>
      <c r="AA463" s="14"/>
    </row>
    <row r="464" spans="2:27" x14ac:dyDescent="0.25">
      <c r="B464" s="14"/>
      <c r="N464" s="15"/>
      <c r="O464" s="15"/>
      <c r="T464" s="15"/>
      <c r="U464" s="14"/>
      <c r="Z464" s="14"/>
      <c r="AA464" s="14"/>
    </row>
    <row r="465" spans="2:27" x14ac:dyDescent="0.25">
      <c r="B465" s="14"/>
      <c r="N465" s="15"/>
      <c r="O465" s="15"/>
      <c r="T465" s="15"/>
      <c r="U465" s="14"/>
      <c r="Z465" s="14"/>
      <c r="AA465" s="14"/>
    </row>
    <row r="466" spans="2:27" x14ac:dyDescent="0.25">
      <c r="B466" s="14"/>
      <c r="N466" s="15"/>
      <c r="O466" s="15"/>
      <c r="T466" s="15"/>
      <c r="U466" s="14"/>
      <c r="Z466" s="14"/>
      <c r="AA466" s="14"/>
    </row>
    <row r="467" spans="2:27" x14ac:dyDescent="0.25">
      <c r="B467" s="14"/>
      <c r="N467" s="15"/>
      <c r="O467" s="15"/>
      <c r="T467" s="15"/>
      <c r="U467" s="14"/>
      <c r="Z467" s="14"/>
      <c r="AA467" s="14"/>
    </row>
    <row r="468" spans="2:27" x14ac:dyDescent="0.25">
      <c r="B468" s="14"/>
      <c r="N468" s="15"/>
      <c r="O468" s="15"/>
      <c r="T468" s="15"/>
      <c r="U468" s="14"/>
      <c r="Z468" s="14"/>
      <c r="AA468" s="14"/>
    </row>
    <row r="469" spans="2:27" x14ac:dyDescent="0.25">
      <c r="B469" s="14"/>
      <c r="N469" s="15"/>
      <c r="O469" s="15"/>
      <c r="T469" s="15"/>
      <c r="U469" s="14"/>
      <c r="Z469" s="14"/>
      <c r="AA469" s="14"/>
    </row>
    <row r="470" spans="2:27" x14ac:dyDescent="0.25">
      <c r="B470" s="14"/>
      <c r="N470" s="15"/>
      <c r="O470" s="15"/>
      <c r="T470" s="15"/>
      <c r="U470" s="14"/>
      <c r="Z470" s="14"/>
      <c r="AA470" s="14"/>
    </row>
    <row r="471" spans="2:27" x14ac:dyDescent="0.25">
      <c r="B471" s="14"/>
      <c r="N471" s="15"/>
      <c r="O471" s="15"/>
      <c r="T471" s="15"/>
      <c r="U471" s="14"/>
      <c r="Z471" s="14"/>
      <c r="AA471" s="14"/>
    </row>
    <row r="472" spans="2:27" x14ac:dyDescent="0.25">
      <c r="B472" s="14"/>
      <c r="N472" s="15"/>
      <c r="O472" s="15"/>
      <c r="T472" s="15"/>
      <c r="U472" s="14"/>
      <c r="Z472" s="14"/>
      <c r="AA472" s="14"/>
    </row>
    <row r="473" spans="2:27" x14ac:dyDescent="0.25">
      <c r="B473" s="14"/>
      <c r="N473" s="15"/>
      <c r="O473" s="15"/>
      <c r="T473" s="15"/>
      <c r="U473" s="14"/>
      <c r="Z473" s="14"/>
      <c r="AA473" s="14"/>
    </row>
    <row r="474" spans="2:27" x14ac:dyDescent="0.25">
      <c r="B474" s="14"/>
      <c r="N474" s="15"/>
      <c r="O474" s="15"/>
      <c r="T474" s="15"/>
      <c r="U474" s="14"/>
      <c r="Z474" s="14"/>
      <c r="AA474" s="14"/>
    </row>
    <row r="475" spans="2:27" x14ac:dyDescent="0.25">
      <c r="B475" s="14"/>
      <c r="N475" s="15"/>
      <c r="O475" s="15"/>
      <c r="T475" s="15"/>
      <c r="U475" s="14"/>
      <c r="Z475" s="14"/>
      <c r="AA475" s="14"/>
    </row>
    <row r="476" spans="2:27" x14ac:dyDescent="0.25">
      <c r="B476" s="14"/>
      <c r="N476" s="15"/>
      <c r="O476" s="15"/>
      <c r="T476" s="15"/>
      <c r="U476" s="14"/>
      <c r="Z476" s="14"/>
      <c r="AA476" s="14"/>
    </row>
    <row r="477" spans="2:27" x14ac:dyDescent="0.25">
      <c r="B477" s="14"/>
      <c r="N477" s="15"/>
      <c r="O477" s="15"/>
      <c r="T477" s="15"/>
      <c r="U477" s="14"/>
      <c r="Z477" s="14"/>
      <c r="AA477" s="14"/>
    </row>
    <row r="478" spans="2:27" x14ac:dyDescent="0.25">
      <c r="B478" s="14"/>
      <c r="N478" s="15"/>
      <c r="O478" s="15"/>
      <c r="T478" s="15"/>
      <c r="U478" s="14"/>
      <c r="Z478" s="14"/>
      <c r="AA478" s="14"/>
    </row>
    <row r="479" spans="2:27" x14ac:dyDescent="0.25">
      <c r="B479" s="14"/>
      <c r="N479" s="15"/>
      <c r="O479" s="15"/>
      <c r="T479" s="15"/>
      <c r="U479" s="14"/>
      <c r="Z479" s="14"/>
      <c r="AA479" s="14"/>
    </row>
    <row r="480" spans="2:27" x14ac:dyDescent="0.25">
      <c r="B480" s="14"/>
      <c r="N480" s="15"/>
      <c r="O480" s="15"/>
      <c r="T480" s="15"/>
      <c r="U480" s="14"/>
      <c r="Z480" s="14"/>
      <c r="AA480" s="14"/>
    </row>
    <row r="481" spans="2:27" x14ac:dyDescent="0.25">
      <c r="B481" s="14"/>
      <c r="N481" s="15"/>
      <c r="O481" s="15"/>
      <c r="T481" s="15"/>
      <c r="U481" s="14"/>
      <c r="Z481" s="14"/>
      <c r="AA481" s="14"/>
    </row>
    <row r="482" spans="2:27" x14ac:dyDescent="0.25">
      <c r="B482" s="14"/>
      <c r="N482" s="15"/>
      <c r="O482" s="15"/>
      <c r="T482" s="15"/>
      <c r="U482" s="14"/>
      <c r="Z482" s="14"/>
      <c r="AA482" s="14"/>
    </row>
    <row r="483" spans="2:27" x14ac:dyDescent="0.25">
      <c r="B483" s="14"/>
      <c r="N483" s="15"/>
      <c r="O483" s="15"/>
      <c r="T483" s="15"/>
      <c r="U483" s="14"/>
      <c r="Z483" s="14"/>
      <c r="AA483" s="14"/>
    </row>
    <row r="484" spans="2:27" x14ac:dyDescent="0.25">
      <c r="B484" s="14"/>
      <c r="N484" s="15"/>
      <c r="O484" s="15"/>
      <c r="T484" s="15"/>
      <c r="U484" s="14"/>
      <c r="Z484" s="14"/>
      <c r="AA484" s="14"/>
    </row>
    <row r="485" spans="2:27" x14ac:dyDescent="0.25">
      <c r="B485" s="14"/>
      <c r="N485" s="15"/>
      <c r="O485" s="15"/>
      <c r="T485" s="15"/>
      <c r="U485" s="14"/>
      <c r="Z485" s="14"/>
      <c r="AA485" s="14"/>
    </row>
    <row r="486" spans="2:27" x14ac:dyDescent="0.25">
      <c r="B486" s="14"/>
      <c r="N486" s="15"/>
      <c r="O486" s="15"/>
      <c r="T486" s="15"/>
      <c r="U486" s="14"/>
      <c r="Z486" s="14"/>
      <c r="AA486" s="14"/>
    </row>
    <row r="487" spans="2:27" x14ac:dyDescent="0.25">
      <c r="B487" s="14"/>
      <c r="N487" s="15"/>
      <c r="O487" s="15"/>
      <c r="T487" s="15"/>
      <c r="U487" s="14"/>
      <c r="Z487" s="14"/>
      <c r="AA487" s="14"/>
    </row>
    <row r="488" spans="2:27" x14ac:dyDescent="0.25">
      <c r="B488" s="14"/>
      <c r="N488" s="15"/>
      <c r="O488" s="15"/>
      <c r="T488" s="15"/>
      <c r="U488" s="14"/>
      <c r="Z488" s="14"/>
      <c r="AA488" s="14"/>
    </row>
    <row r="489" spans="2:27" x14ac:dyDescent="0.25">
      <c r="B489" s="14"/>
      <c r="N489" s="15"/>
      <c r="O489" s="15"/>
      <c r="T489" s="15"/>
      <c r="U489" s="14"/>
      <c r="Z489" s="14"/>
      <c r="AA489" s="14"/>
    </row>
    <row r="490" spans="2:27" x14ac:dyDescent="0.25">
      <c r="B490" s="14"/>
      <c r="N490" s="15"/>
      <c r="O490" s="15"/>
      <c r="T490" s="15"/>
      <c r="U490" s="14"/>
      <c r="Z490" s="14"/>
      <c r="AA490" s="14"/>
    </row>
    <row r="491" spans="2:27" x14ac:dyDescent="0.25">
      <c r="B491" s="14"/>
      <c r="N491" s="15"/>
      <c r="O491" s="15"/>
      <c r="T491" s="15"/>
      <c r="U491" s="14"/>
      <c r="Z491" s="14"/>
      <c r="AA491" s="14"/>
    </row>
    <row r="492" spans="2:27" x14ac:dyDescent="0.25">
      <c r="B492" s="14"/>
      <c r="N492" s="15"/>
      <c r="O492" s="15"/>
      <c r="T492" s="15"/>
      <c r="U492" s="14"/>
      <c r="Z492" s="14"/>
      <c r="AA492" s="14"/>
    </row>
    <row r="493" spans="2:27" x14ac:dyDescent="0.25">
      <c r="B493" s="14"/>
      <c r="N493" s="15"/>
      <c r="O493" s="15"/>
      <c r="T493" s="15"/>
      <c r="U493" s="14"/>
      <c r="Z493" s="14"/>
      <c r="AA493" s="14"/>
    </row>
    <row r="494" spans="2:27" x14ac:dyDescent="0.25">
      <c r="B494" s="14"/>
      <c r="N494" s="15"/>
      <c r="O494" s="15"/>
      <c r="T494" s="15"/>
      <c r="U494" s="14"/>
      <c r="Z494" s="14"/>
      <c r="AA494" s="14"/>
    </row>
    <row r="495" spans="2:27" x14ac:dyDescent="0.25">
      <c r="B495" s="14"/>
      <c r="N495" s="15"/>
      <c r="O495" s="15"/>
      <c r="T495" s="15"/>
      <c r="U495" s="14"/>
      <c r="Z495" s="14"/>
      <c r="AA495" s="14"/>
    </row>
    <row r="496" spans="2:27" x14ac:dyDescent="0.25">
      <c r="B496" s="14"/>
      <c r="N496" s="15"/>
      <c r="O496" s="15"/>
      <c r="T496" s="15"/>
      <c r="U496" s="14"/>
      <c r="Z496" s="14"/>
      <c r="AA496" s="14"/>
    </row>
    <row r="497" spans="2:27" x14ac:dyDescent="0.25">
      <c r="B497" s="14"/>
      <c r="N497" s="15"/>
      <c r="O497" s="15"/>
      <c r="T497" s="15"/>
      <c r="U497" s="14"/>
      <c r="Z497" s="14"/>
      <c r="AA497" s="14"/>
    </row>
    <row r="498" spans="2:27" x14ac:dyDescent="0.25">
      <c r="B498" s="14"/>
      <c r="N498" s="15"/>
      <c r="O498" s="15"/>
      <c r="T498" s="15"/>
      <c r="U498" s="14"/>
      <c r="Z498" s="14"/>
      <c r="AA498" s="14"/>
    </row>
    <row r="499" spans="2:27" x14ac:dyDescent="0.25">
      <c r="B499" s="14"/>
      <c r="N499" s="15"/>
      <c r="O499" s="15"/>
      <c r="T499" s="15"/>
      <c r="U499" s="14"/>
      <c r="Z499" s="14"/>
      <c r="AA499" s="14"/>
    </row>
    <row r="500" spans="2:27" x14ac:dyDescent="0.25">
      <c r="B500" s="14"/>
      <c r="N500" s="15"/>
      <c r="O500" s="15"/>
      <c r="T500" s="15"/>
      <c r="U500" s="14"/>
      <c r="Z500" s="14"/>
      <c r="AA500" s="14"/>
    </row>
    <row r="501" spans="2:27" x14ac:dyDescent="0.25">
      <c r="B501" s="14"/>
      <c r="N501" s="15"/>
      <c r="O501" s="15"/>
      <c r="T501" s="15"/>
      <c r="U501" s="14"/>
      <c r="Z501" s="14"/>
      <c r="AA501" s="14"/>
    </row>
    <row r="502" spans="2:27" x14ac:dyDescent="0.25">
      <c r="B502" s="14"/>
      <c r="N502" s="15"/>
      <c r="O502" s="15"/>
      <c r="T502" s="15"/>
      <c r="U502" s="14"/>
      <c r="Z502" s="14"/>
      <c r="AA502" s="14"/>
    </row>
    <row r="503" spans="2:27" x14ac:dyDescent="0.25">
      <c r="B503" s="14"/>
      <c r="N503" s="15"/>
      <c r="O503" s="15"/>
      <c r="T503" s="15"/>
      <c r="U503" s="14"/>
      <c r="Z503" s="14"/>
      <c r="AA503" s="14"/>
    </row>
    <row r="504" spans="2:27" x14ac:dyDescent="0.25">
      <c r="B504" s="14"/>
      <c r="N504" s="15"/>
      <c r="O504" s="15"/>
      <c r="T504" s="15"/>
      <c r="U504" s="14"/>
      <c r="Z504" s="14"/>
      <c r="AA504" s="14"/>
    </row>
    <row r="505" spans="2:27" x14ac:dyDescent="0.25">
      <c r="B505" s="14"/>
      <c r="N505" s="15"/>
      <c r="O505" s="15"/>
      <c r="T505" s="15"/>
      <c r="U505" s="14"/>
      <c r="Z505" s="14"/>
      <c r="AA505" s="14"/>
    </row>
    <row r="506" spans="2:27" x14ac:dyDescent="0.25">
      <c r="B506" s="14"/>
      <c r="N506" s="15"/>
      <c r="O506" s="15"/>
      <c r="T506" s="15"/>
      <c r="U506" s="14"/>
      <c r="Z506" s="14"/>
      <c r="AA506" s="14"/>
    </row>
    <row r="507" spans="2:27" x14ac:dyDescent="0.25">
      <c r="B507" s="14"/>
      <c r="N507" s="15"/>
      <c r="O507" s="15"/>
      <c r="T507" s="15"/>
      <c r="U507" s="14"/>
      <c r="Z507" s="14"/>
      <c r="AA507" s="14"/>
    </row>
    <row r="508" spans="2:27" x14ac:dyDescent="0.25">
      <c r="B508" s="14"/>
      <c r="N508" s="15"/>
      <c r="O508" s="15"/>
      <c r="T508" s="15"/>
      <c r="U508" s="14"/>
      <c r="Z508" s="14"/>
      <c r="AA508" s="14"/>
    </row>
    <row r="509" spans="2:27" x14ac:dyDescent="0.25">
      <c r="B509" s="14"/>
      <c r="N509" s="15"/>
      <c r="O509" s="15"/>
      <c r="T509" s="15"/>
      <c r="U509" s="14"/>
      <c r="Z509" s="14"/>
      <c r="AA509" s="14"/>
    </row>
    <row r="510" spans="2:27" x14ac:dyDescent="0.25">
      <c r="B510" s="14"/>
      <c r="N510" s="15"/>
      <c r="O510" s="15"/>
      <c r="T510" s="15"/>
      <c r="U510" s="14"/>
      <c r="Z510" s="14"/>
      <c r="AA510" s="14"/>
    </row>
    <row r="511" spans="2:27" x14ac:dyDescent="0.25">
      <c r="B511" s="14"/>
      <c r="N511" s="15"/>
      <c r="O511" s="15"/>
      <c r="T511" s="15"/>
      <c r="U511" s="14"/>
      <c r="Z511" s="14"/>
      <c r="AA511" s="14"/>
    </row>
    <row r="512" spans="2:27" x14ac:dyDescent="0.25">
      <c r="B512" s="14"/>
      <c r="N512" s="15"/>
      <c r="O512" s="15"/>
      <c r="T512" s="15"/>
      <c r="U512" s="14"/>
      <c r="Z512" s="14"/>
      <c r="AA512" s="14"/>
    </row>
    <row r="513" spans="2:27" x14ac:dyDescent="0.25">
      <c r="B513" s="14"/>
      <c r="N513" s="15"/>
      <c r="O513" s="15"/>
      <c r="T513" s="15"/>
      <c r="U513" s="14"/>
      <c r="Z513" s="14"/>
      <c r="AA513" s="14"/>
    </row>
    <row r="514" spans="2:27" x14ac:dyDescent="0.25">
      <c r="B514" s="14"/>
      <c r="N514" s="15"/>
      <c r="O514" s="15"/>
      <c r="T514" s="15"/>
      <c r="U514" s="14"/>
      <c r="Z514" s="14"/>
      <c r="AA514" s="14"/>
    </row>
    <row r="515" spans="2:27" x14ac:dyDescent="0.25">
      <c r="B515" s="14"/>
      <c r="N515" s="15"/>
      <c r="O515" s="15"/>
      <c r="T515" s="15"/>
      <c r="U515" s="14"/>
      <c r="Z515" s="14"/>
      <c r="AA515" s="14"/>
    </row>
    <row r="516" spans="2:27" x14ac:dyDescent="0.25">
      <c r="B516" s="14"/>
      <c r="N516" s="15"/>
      <c r="O516" s="15"/>
      <c r="T516" s="15"/>
      <c r="U516" s="14"/>
      <c r="Z516" s="14"/>
      <c r="AA516" s="14"/>
    </row>
    <row r="517" spans="2:27" x14ac:dyDescent="0.25">
      <c r="B517" s="14"/>
      <c r="N517" s="15"/>
      <c r="O517" s="15"/>
      <c r="T517" s="15"/>
      <c r="U517" s="14"/>
      <c r="Z517" s="14"/>
      <c r="AA517" s="14"/>
    </row>
    <row r="518" spans="2:27" x14ac:dyDescent="0.25">
      <c r="B518" s="14"/>
      <c r="N518" s="15"/>
      <c r="O518" s="15"/>
      <c r="T518" s="15"/>
      <c r="U518" s="14"/>
      <c r="Z518" s="14"/>
      <c r="AA518" s="14"/>
    </row>
    <row r="519" spans="2:27" x14ac:dyDescent="0.25">
      <c r="B519" s="14"/>
      <c r="N519" s="15"/>
      <c r="O519" s="15"/>
      <c r="T519" s="15"/>
      <c r="U519" s="14"/>
      <c r="Z519" s="14"/>
      <c r="AA519" s="14"/>
    </row>
    <row r="520" spans="2:27" x14ac:dyDescent="0.25">
      <c r="B520" s="14"/>
      <c r="N520" s="15"/>
      <c r="O520" s="15"/>
      <c r="T520" s="15"/>
      <c r="U520" s="14"/>
      <c r="Z520" s="14"/>
      <c r="AA520" s="14"/>
    </row>
    <row r="521" spans="2:27" x14ac:dyDescent="0.25">
      <c r="B521" s="14"/>
      <c r="N521" s="15"/>
      <c r="O521" s="15"/>
      <c r="T521" s="15"/>
      <c r="U521" s="14"/>
      <c r="Z521" s="14"/>
      <c r="AA521" s="14"/>
    </row>
    <row r="522" spans="2:27" x14ac:dyDescent="0.25">
      <c r="B522" s="14"/>
      <c r="N522" s="15"/>
      <c r="O522" s="15"/>
      <c r="T522" s="15"/>
      <c r="U522" s="14"/>
      <c r="Z522" s="14"/>
      <c r="AA522" s="14"/>
    </row>
    <row r="523" spans="2:27" x14ac:dyDescent="0.25">
      <c r="B523" s="14"/>
      <c r="N523" s="15"/>
      <c r="O523" s="15"/>
      <c r="T523" s="15"/>
      <c r="U523" s="14"/>
      <c r="Z523" s="14"/>
      <c r="AA523" s="14"/>
    </row>
    <row r="524" spans="2:27" x14ac:dyDescent="0.25">
      <c r="B524" s="14"/>
      <c r="N524" s="15"/>
      <c r="O524" s="15"/>
      <c r="T524" s="15"/>
      <c r="U524" s="14"/>
      <c r="Z524" s="14"/>
      <c r="AA524" s="14"/>
    </row>
    <row r="525" spans="2:27" x14ac:dyDescent="0.25">
      <c r="B525" s="14"/>
      <c r="N525" s="15"/>
      <c r="O525" s="15"/>
      <c r="T525" s="15"/>
      <c r="U525" s="14"/>
      <c r="Z525" s="14"/>
      <c r="AA525" s="14"/>
    </row>
    <row r="526" spans="2:27" x14ac:dyDescent="0.25">
      <c r="B526" s="14"/>
      <c r="N526" s="15"/>
      <c r="O526" s="15"/>
      <c r="T526" s="15"/>
      <c r="U526" s="14"/>
      <c r="Z526" s="14"/>
      <c r="AA526" s="14"/>
    </row>
    <row r="527" spans="2:27" x14ac:dyDescent="0.25">
      <c r="B527" s="14"/>
      <c r="N527" s="15"/>
      <c r="O527" s="15"/>
      <c r="T527" s="15"/>
      <c r="U527" s="14"/>
      <c r="Z527" s="14"/>
      <c r="AA527" s="14"/>
    </row>
    <row r="528" spans="2:27" x14ac:dyDescent="0.25">
      <c r="B528" s="14"/>
      <c r="N528" s="15"/>
      <c r="O528" s="15"/>
      <c r="T528" s="15"/>
      <c r="U528" s="14"/>
      <c r="Z528" s="14"/>
      <c r="AA528" s="14"/>
    </row>
    <row r="529" spans="2:27" x14ac:dyDescent="0.25">
      <c r="B529" s="14"/>
      <c r="N529" s="15"/>
      <c r="O529" s="15"/>
      <c r="T529" s="15"/>
      <c r="U529" s="14"/>
      <c r="Z529" s="14"/>
      <c r="AA529" s="14"/>
    </row>
    <row r="530" spans="2:27" x14ac:dyDescent="0.25">
      <c r="B530" s="14"/>
      <c r="N530" s="15"/>
      <c r="O530" s="15"/>
      <c r="T530" s="15"/>
      <c r="U530" s="14"/>
      <c r="Z530" s="14"/>
      <c r="AA530" s="14"/>
    </row>
    <row r="531" spans="2:27" x14ac:dyDescent="0.25">
      <c r="B531" s="14"/>
      <c r="N531" s="15"/>
      <c r="O531" s="15"/>
      <c r="T531" s="15"/>
      <c r="U531" s="14"/>
      <c r="Z531" s="14"/>
      <c r="AA531" s="14"/>
    </row>
    <row r="532" spans="2:27" x14ac:dyDescent="0.25">
      <c r="B532" s="14"/>
      <c r="N532" s="15"/>
      <c r="O532" s="15"/>
      <c r="T532" s="15"/>
      <c r="U532" s="14"/>
      <c r="Z532" s="14"/>
      <c r="AA532" s="14"/>
    </row>
    <row r="533" spans="2:27" x14ac:dyDescent="0.25">
      <c r="B533" s="14"/>
      <c r="N533" s="15"/>
      <c r="O533" s="15"/>
      <c r="T533" s="15"/>
      <c r="U533" s="14"/>
      <c r="Z533" s="14"/>
      <c r="AA533" s="14"/>
    </row>
    <row r="534" spans="2:27" x14ac:dyDescent="0.25">
      <c r="B534" s="14"/>
      <c r="N534" s="15"/>
      <c r="O534" s="15"/>
      <c r="T534" s="15"/>
      <c r="U534" s="14"/>
      <c r="Z534" s="14"/>
      <c r="AA534" s="14"/>
    </row>
    <row r="535" spans="2:27" x14ac:dyDescent="0.25">
      <c r="B535" s="14"/>
      <c r="N535" s="15"/>
      <c r="O535" s="15"/>
      <c r="T535" s="15"/>
      <c r="U535" s="14"/>
      <c r="Z535" s="14"/>
      <c r="AA535" s="14"/>
    </row>
    <row r="536" spans="2:27" x14ac:dyDescent="0.25">
      <c r="B536" s="14"/>
      <c r="N536" s="15"/>
      <c r="O536" s="15"/>
      <c r="T536" s="15"/>
      <c r="U536" s="14"/>
      <c r="Z536" s="14"/>
      <c r="AA536" s="14"/>
    </row>
    <row r="537" spans="2:27" x14ac:dyDescent="0.25">
      <c r="B537" s="14"/>
      <c r="N537" s="15"/>
      <c r="O537" s="15"/>
      <c r="T537" s="15"/>
      <c r="U537" s="14"/>
      <c r="Z537" s="14"/>
      <c r="AA537" s="14"/>
    </row>
    <row r="538" spans="2:27" x14ac:dyDescent="0.25">
      <c r="B538" s="14"/>
      <c r="N538" s="15"/>
      <c r="O538" s="15"/>
      <c r="T538" s="15"/>
      <c r="U538" s="14"/>
      <c r="Z538" s="14"/>
      <c r="AA538" s="14"/>
    </row>
    <row r="539" spans="2:27" x14ac:dyDescent="0.25">
      <c r="B539" s="14"/>
      <c r="N539" s="15"/>
      <c r="O539" s="15"/>
      <c r="T539" s="15"/>
      <c r="U539" s="14"/>
      <c r="Z539" s="14"/>
      <c r="AA539" s="14"/>
    </row>
    <row r="540" spans="2:27" x14ac:dyDescent="0.25">
      <c r="B540" s="14"/>
      <c r="N540" s="15"/>
      <c r="O540" s="15"/>
      <c r="T540" s="15"/>
      <c r="U540" s="14"/>
      <c r="Z540" s="14"/>
      <c r="AA540" s="14"/>
    </row>
    <row r="541" spans="2:27" x14ac:dyDescent="0.25">
      <c r="B541" s="14"/>
      <c r="N541" s="15"/>
      <c r="O541" s="15"/>
      <c r="T541" s="15"/>
      <c r="U541" s="14"/>
      <c r="Z541" s="14"/>
      <c r="AA541" s="14"/>
    </row>
    <row r="542" spans="2:27" x14ac:dyDescent="0.25">
      <c r="B542" s="14"/>
      <c r="N542" s="15"/>
      <c r="O542" s="15"/>
      <c r="T542" s="15"/>
      <c r="U542" s="14"/>
      <c r="Z542" s="14"/>
      <c r="AA542" s="14"/>
    </row>
    <row r="543" spans="2:27" x14ac:dyDescent="0.25">
      <c r="B543" s="14"/>
      <c r="N543" s="15"/>
      <c r="O543" s="15"/>
      <c r="T543" s="15"/>
      <c r="U543" s="14"/>
      <c r="Z543" s="14"/>
      <c r="AA543" s="14"/>
    </row>
    <row r="544" spans="2:27" x14ac:dyDescent="0.25">
      <c r="B544" s="14"/>
      <c r="N544" s="15"/>
      <c r="O544" s="15"/>
      <c r="T544" s="15"/>
      <c r="U544" s="14"/>
      <c r="Z544" s="14"/>
      <c r="AA544" s="14"/>
    </row>
    <row r="545" spans="2:27" x14ac:dyDescent="0.25">
      <c r="B545" s="14"/>
      <c r="N545" s="15"/>
      <c r="O545" s="15"/>
      <c r="T545" s="15"/>
      <c r="U545" s="14"/>
      <c r="Z545" s="14"/>
      <c r="AA545" s="14"/>
    </row>
    <row r="546" spans="2:27" x14ac:dyDescent="0.25">
      <c r="N546" s="15"/>
      <c r="O546" s="15"/>
      <c r="T546" s="15"/>
      <c r="U546" s="14"/>
      <c r="Z546" s="14"/>
      <c r="AA546" s="14"/>
    </row>
    <row r="547" spans="2:27" x14ac:dyDescent="0.25">
      <c r="N547" s="15"/>
      <c r="O547" s="15"/>
      <c r="T547" s="15"/>
      <c r="U547" s="14"/>
      <c r="Z547" s="14"/>
      <c r="AA547" s="14"/>
    </row>
    <row r="548" spans="2:27" x14ac:dyDescent="0.25">
      <c r="N548" s="15"/>
      <c r="O548" s="15"/>
      <c r="T548" s="15"/>
      <c r="U548" s="14"/>
      <c r="Z548" s="14"/>
      <c r="AA548" s="14"/>
    </row>
    <row r="549" spans="2:27" x14ac:dyDescent="0.25">
      <c r="N549" s="15"/>
      <c r="O549" s="15"/>
      <c r="T549" s="15"/>
      <c r="U549" s="14"/>
      <c r="Z549" s="14"/>
      <c r="AA549" s="14"/>
    </row>
    <row r="550" spans="2:27" x14ac:dyDescent="0.25">
      <c r="N550" s="15"/>
      <c r="O550" s="15"/>
      <c r="T550" s="15"/>
      <c r="U550" s="14"/>
      <c r="Z550" s="14"/>
      <c r="AA550" s="14"/>
    </row>
    <row r="551" spans="2:27" x14ac:dyDescent="0.25">
      <c r="N551" s="15"/>
      <c r="O551" s="15"/>
      <c r="T551" s="15"/>
      <c r="U551" s="14"/>
      <c r="Z551" s="14"/>
      <c r="AA551" s="14"/>
    </row>
    <row r="552" spans="2:27" x14ac:dyDescent="0.25">
      <c r="N552" s="15"/>
      <c r="O552" s="15"/>
      <c r="T552" s="15"/>
      <c r="U552" s="14"/>
      <c r="Z552" s="14"/>
      <c r="AA552" s="14"/>
    </row>
    <row r="553" spans="2:27" x14ac:dyDescent="0.25">
      <c r="N553" s="15"/>
      <c r="O553" s="15"/>
      <c r="T553" s="15"/>
      <c r="U553" s="14"/>
      <c r="Z553" s="14"/>
      <c r="AA553" s="14"/>
    </row>
    <row r="554" spans="2:27" x14ac:dyDescent="0.25">
      <c r="N554" s="15"/>
      <c r="O554" s="15"/>
      <c r="T554" s="15"/>
      <c r="U554" s="14"/>
      <c r="Z554" s="14"/>
      <c r="AA554" s="14"/>
    </row>
    <row r="555" spans="2:27" x14ac:dyDescent="0.25">
      <c r="N555" s="15"/>
      <c r="O555" s="15"/>
      <c r="T555" s="15"/>
      <c r="U555" s="14"/>
      <c r="Z555" s="14"/>
      <c r="AA555" s="14"/>
    </row>
    <row r="556" spans="2:27" x14ac:dyDescent="0.25">
      <c r="N556" s="15"/>
      <c r="O556" s="15"/>
      <c r="T556" s="15"/>
      <c r="U556" s="14"/>
      <c r="Z556" s="14"/>
      <c r="AA556" s="14"/>
    </row>
    <row r="557" spans="2:27" x14ac:dyDescent="0.25">
      <c r="N557" s="15"/>
      <c r="O557" s="15"/>
      <c r="T557" s="15"/>
      <c r="U557" s="14"/>
      <c r="Z557" s="14"/>
      <c r="AA557" s="14"/>
    </row>
    <row r="558" spans="2:27" x14ac:dyDescent="0.25">
      <c r="N558" s="15"/>
      <c r="O558" s="15"/>
      <c r="T558" s="15"/>
      <c r="U558" s="14"/>
      <c r="Z558" s="14"/>
      <c r="AA558" s="14"/>
    </row>
    <row r="559" spans="2:27" x14ac:dyDescent="0.25">
      <c r="N559" s="15"/>
      <c r="O559" s="15"/>
      <c r="T559" s="15"/>
      <c r="U559" s="14"/>
      <c r="Z559" s="14"/>
      <c r="AA559" s="14"/>
    </row>
    <row r="560" spans="2:27" x14ac:dyDescent="0.25">
      <c r="N560" s="15"/>
      <c r="O560" s="15"/>
      <c r="T560" s="15"/>
      <c r="U560" s="14"/>
      <c r="Z560" s="14"/>
      <c r="AA560" s="14"/>
    </row>
    <row r="561" spans="14:27" x14ac:dyDescent="0.25">
      <c r="N561" s="15"/>
      <c r="O561" s="15"/>
      <c r="T561" s="15"/>
      <c r="U561" s="14"/>
      <c r="Z561" s="14"/>
      <c r="AA561" s="14"/>
    </row>
    <row r="562" spans="14:27" x14ac:dyDescent="0.25">
      <c r="N562" s="15"/>
      <c r="O562" s="15"/>
      <c r="T562" s="15"/>
      <c r="U562" s="14"/>
      <c r="Z562" s="14"/>
      <c r="AA562" s="14"/>
    </row>
    <row r="563" spans="14:27" x14ac:dyDescent="0.25">
      <c r="N563" s="15"/>
      <c r="O563" s="15"/>
      <c r="T563" s="15"/>
      <c r="U563" s="14"/>
      <c r="Z563" s="14"/>
      <c r="AA563" s="14"/>
    </row>
    <row r="564" spans="14:27" x14ac:dyDescent="0.25">
      <c r="N564" s="15"/>
      <c r="O564" s="15"/>
      <c r="T564" s="15"/>
      <c r="U564" s="14"/>
      <c r="Z564" s="14"/>
      <c r="AA564" s="14"/>
    </row>
    <row r="565" spans="14:27" x14ac:dyDescent="0.25">
      <c r="N565" s="15"/>
      <c r="O565" s="15"/>
      <c r="T565" s="15"/>
      <c r="U565" s="14"/>
      <c r="Z565" s="14"/>
      <c r="AA565" s="14"/>
    </row>
    <row r="566" spans="14:27" x14ac:dyDescent="0.25">
      <c r="N566" s="15"/>
      <c r="O566" s="15"/>
      <c r="T566" s="15"/>
      <c r="U566" s="14"/>
      <c r="Z566" s="14"/>
      <c r="AA566" s="14"/>
    </row>
    <row r="567" spans="14:27" x14ac:dyDescent="0.25">
      <c r="N567" s="15"/>
      <c r="O567" s="15"/>
      <c r="T567" s="15"/>
      <c r="U567" s="14"/>
      <c r="Z567" s="14"/>
      <c r="AA567" s="14"/>
    </row>
    <row r="568" spans="14:27" x14ac:dyDescent="0.25">
      <c r="N568" s="15"/>
      <c r="O568" s="15"/>
      <c r="T568" s="15"/>
      <c r="U568" s="14"/>
      <c r="Z568" s="14"/>
      <c r="AA568" s="14"/>
    </row>
    <row r="569" spans="14:27" x14ac:dyDescent="0.25">
      <c r="N569" s="15"/>
      <c r="O569" s="15"/>
      <c r="T569" s="15"/>
      <c r="U569" s="14"/>
      <c r="Z569" s="14"/>
      <c r="AA569" s="14"/>
    </row>
    <row r="570" spans="14:27" x14ac:dyDescent="0.25">
      <c r="N570" s="15"/>
      <c r="O570" s="15"/>
      <c r="T570" s="15"/>
      <c r="U570" s="14"/>
      <c r="Z570" s="14"/>
      <c r="AA570" s="14"/>
    </row>
    <row r="571" spans="14:27" x14ac:dyDescent="0.25">
      <c r="N571" s="15"/>
      <c r="O571" s="15"/>
      <c r="T571" s="15"/>
      <c r="U571" s="14"/>
      <c r="Z571" s="14"/>
      <c r="AA571" s="14"/>
    </row>
    <row r="572" spans="14:27" x14ac:dyDescent="0.25">
      <c r="N572" s="15"/>
      <c r="O572" s="15"/>
      <c r="T572" s="15"/>
      <c r="U572" s="14"/>
      <c r="Z572" s="14"/>
      <c r="AA572" s="14"/>
    </row>
    <row r="573" spans="14:27" x14ac:dyDescent="0.25">
      <c r="N573" s="15"/>
      <c r="O573" s="15"/>
      <c r="T573" s="15"/>
      <c r="U573" s="14"/>
      <c r="Z573" s="14"/>
      <c r="AA573" s="14"/>
    </row>
    <row r="574" spans="14:27" x14ac:dyDescent="0.25">
      <c r="N574" s="15"/>
      <c r="O574" s="15"/>
      <c r="T574" s="15"/>
      <c r="U574" s="14"/>
      <c r="Z574" s="14"/>
      <c r="AA574" s="14"/>
    </row>
    <row r="575" spans="14:27" x14ac:dyDescent="0.25">
      <c r="N575" s="15"/>
      <c r="O575" s="15"/>
      <c r="T575" s="15"/>
      <c r="U575" s="14"/>
      <c r="Z575" s="14"/>
      <c r="AA575" s="14"/>
    </row>
    <row r="576" spans="14:27" x14ac:dyDescent="0.25">
      <c r="N576" s="15"/>
      <c r="O576" s="15"/>
      <c r="T576" s="15"/>
      <c r="U576" s="14"/>
      <c r="Z576" s="14"/>
      <c r="AA576" s="14"/>
    </row>
    <row r="577" spans="14:27" x14ac:dyDescent="0.25">
      <c r="N577" s="15"/>
      <c r="O577" s="15"/>
      <c r="T577" s="15"/>
      <c r="U577" s="14"/>
      <c r="Z577" s="14"/>
      <c r="AA577" s="14"/>
    </row>
    <row r="578" spans="14:27" x14ac:dyDescent="0.25">
      <c r="N578" s="15"/>
      <c r="O578" s="15"/>
      <c r="T578" s="15"/>
      <c r="U578" s="14"/>
      <c r="Z578" s="14"/>
      <c r="AA578" s="14"/>
    </row>
    <row r="579" spans="14:27" x14ac:dyDescent="0.25">
      <c r="N579" s="15"/>
      <c r="O579" s="15"/>
      <c r="T579" s="15"/>
      <c r="U579" s="14"/>
      <c r="Z579" s="14"/>
      <c r="AA579" s="14"/>
    </row>
    <row r="580" spans="14:27" x14ac:dyDescent="0.25">
      <c r="N580" s="15"/>
      <c r="O580" s="15"/>
      <c r="T580" s="15"/>
      <c r="U580" s="14"/>
      <c r="Z580" s="14"/>
      <c r="AA580" s="14"/>
    </row>
    <row r="581" spans="14:27" x14ac:dyDescent="0.25">
      <c r="N581" s="15"/>
      <c r="O581" s="15"/>
      <c r="T581" s="15"/>
      <c r="U581" s="14"/>
      <c r="Z581" s="14"/>
      <c r="AA581" s="14"/>
    </row>
    <row r="582" spans="14:27" x14ac:dyDescent="0.25">
      <c r="N582" s="15"/>
      <c r="O582" s="15"/>
      <c r="T582" s="15"/>
      <c r="U582" s="14"/>
      <c r="Z582" s="14"/>
      <c r="AA582" s="14"/>
    </row>
    <row r="583" spans="14:27" x14ac:dyDescent="0.25">
      <c r="N583" s="15"/>
      <c r="O583" s="15"/>
      <c r="T583" s="15"/>
      <c r="U583" s="14"/>
      <c r="Z583" s="14"/>
      <c r="AA583" s="14"/>
    </row>
    <row r="584" spans="14:27" x14ac:dyDescent="0.25">
      <c r="N584" s="15"/>
      <c r="O584" s="15"/>
      <c r="T584" s="15"/>
      <c r="U584" s="14"/>
      <c r="Z584" s="14"/>
      <c r="AA584" s="14"/>
    </row>
    <row r="585" spans="14:27" x14ac:dyDescent="0.25">
      <c r="N585" s="15"/>
      <c r="O585" s="15"/>
      <c r="T585" s="15"/>
      <c r="U585" s="14"/>
      <c r="Z585" s="14"/>
      <c r="AA585" s="14"/>
    </row>
    <row r="586" spans="14:27" x14ac:dyDescent="0.25">
      <c r="N586" s="15"/>
      <c r="O586" s="15"/>
      <c r="T586" s="15"/>
      <c r="U586" s="14"/>
      <c r="Z586" s="14"/>
      <c r="AA586" s="14"/>
    </row>
    <row r="587" spans="14:27" x14ac:dyDescent="0.25">
      <c r="N587" s="15"/>
      <c r="O587" s="15"/>
      <c r="T587" s="15"/>
      <c r="U587" s="14"/>
      <c r="Z587" s="14"/>
      <c r="AA587" s="14"/>
    </row>
    <row r="588" spans="14:27" x14ac:dyDescent="0.25">
      <c r="N588" s="15"/>
      <c r="O588" s="15"/>
      <c r="T588" s="15"/>
      <c r="U588" s="14"/>
      <c r="Z588" s="14"/>
      <c r="AA588" s="14"/>
    </row>
    <row r="589" spans="14:27" x14ac:dyDescent="0.25">
      <c r="N589" s="15"/>
      <c r="O589" s="15"/>
      <c r="T589" s="15"/>
      <c r="U589" s="14"/>
      <c r="Z589" s="14"/>
      <c r="AA589" s="14"/>
    </row>
    <row r="590" spans="14:27" x14ac:dyDescent="0.25">
      <c r="N590" s="15"/>
      <c r="O590" s="15"/>
      <c r="T590" s="15"/>
      <c r="U590" s="14"/>
      <c r="Z590" s="14"/>
      <c r="AA590" s="14"/>
    </row>
    <row r="591" spans="14:27" x14ac:dyDescent="0.25">
      <c r="N591" s="15"/>
      <c r="O591" s="15"/>
      <c r="T591" s="15"/>
      <c r="U591" s="14"/>
      <c r="Z591" s="14"/>
      <c r="AA591" s="14"/>
    </row>
    <row r="592" spans="14:27" x14ac:dyDescent="0.25">
      <c r="N592" s="15"/>
      <c r="O592" s="15"/>
      <c r="T592" s="15"/>
      <c r="U592" s="14"/>
      <c r="Z592" s="14"/>
      <c r="AA592" s="14"/>
    </row>
    <row r="593" spans="14:27" x14ac:dyDescent="0.25">
      <c r="N593" s="15"/>
      <c r="O593" s="15"/>
      <c r="T593" s="15"/>
      <c r="U593" s="14"/>
      <c r="Z593" s="14"/>
      <c r="AA593" s="14"/>
    </row>
    <row r="594" spans="14:27" x14ac:dyDescent="0.25">
      <c r="N594" s="15"/>
      <c r="O594" s="15"/>
      <c r="T594" s="15"/>
      <c r="U594" s="14"/>
      <c r="Z594" s="14"/>
      <c r="AA594" s="14"/>
    </row>
    <row r="595" spans="14:27" x14ac:dyDescent="0.25">
      <c r="N595" s="15"/>
      <c r="O595" s="15"/>
      <c r="T595" s="15"/>
      <c r="U595" s="14"/>
      <c r="Z595" s="14"/>
      <c r="AA595" s="14"/>
    </row>
    <row r="596" spans="14:27" x14ac:dyDescent="0.25">
      <c r="N596" s="15"/>
      <c r="O596" s="15"/>
      <c r="T596" s="15"/>
      <c r="U596" s="14"/>
      <c r="Z596" s="14"/>
      <c r="AA596" s="14"/>
    </row>
    <row r="597" spans="14:27" x14ac:dyDescent="0.25">
      <c r="N597" s="15"/>
      <c r="O597" s="15"/>
      <c r="T597" s="15"/>
      <c r="U597" s="14"/>
      <c r="Z597" s="14"/>
      <c r="AA597" s="14"/>
    </row>
    <row r="598" spans="14:27" x14ac:dyDescent="0.25">
      <c r="N598" s="15"/>
      <c r="O598" s="15"/>
      <c r="T598" s="15"/>
      <c r="U598" s="14"/>
      <c r="Z598" s="14"/>
      <c r="AA598" s="14"/>
    </row>
    <row r="599" spans="14:27" x14ac:dyDescent="0.25">
      <c r="N599" s="15"/>
      <c r="O599" s="15"/>
      <c r="T599" s="15"/>
      <c r="U599" s="14"/>
      <c r="Z599" s="14"/>
      <c r="AA599" s="14"/>
    </row>
    <row r="600" spans="14:27" x14ac:dyDescent="0.25">
      <c r="N600" s="15"/>
      <c r="O600" s="15"/>
      <c r="T600" s="15"/>
      <c r="U600" s="14"/>
      <c r="Z600" s="14"/>
      <c r="AA600" s="14"/>
    </row>
    <row r="601" spans="14:27" x14ac:dyDescent="0.25">
      <c r="N601" s="15"/>
      <c r="O601" s="15"/>
      <c r="T601" s="15"/>
      <c r="U601" s="14"/>
      <c r="Z601" s="14"/>
      <c r="AA601" s="14"/>
    </row>
    <row r="602" spans="14:27" x14ac:dyDescent="0.25">
      <c r="N602" s="15"/>
      <c r="O602" s="15"/>
      <c r="T602" s="15"/>
      <c r="U602" s="14"/>
      <c r="Z602" s="14"/>
      <c r="AA602" s="14"/>
    </row>
    <row r="603" spans="14:27" x14ac:dyDescent="0.25">
      <c r="N603" s="15"/>
      <c r="O603" s="15"/>
      <c r="T603" s="15"/>
      <c r="U603" s="14"/>
      <c r="Z603" s="14"/>
      <c r="AA603" s="14"/>
    </row>
    <row r="604" spans="14:27" x14ac:dyDescent="0.25">
      <c r="N604" s="15"/>
      <c r="O604" s="15"/>
      <c r="T604" s="15"/>
      <c r="U604" s="14"/>
      <c r="Z604" s="14"/>
      <c r="AA604" s="14"/>
    </row>
    <row r="605" spans="14:27" x14ac:dyDescent="0.25">
      <c r="N605" s="15"/>
      <c r="O605" s="15"/>
      <c r="T605" s="15"/>
      <c r="U605" s="14"/>
      <c r="Z605" s="14"/>
      <c r="AA605" s="14"/>
    </row>
    <row r="606" spans="14:27" x14ac:dyDescent="0.25">
      <c r="N606" s="15"/>
      <c r="O606" s="15"/>
      <c r="T606" s="15"/>
      <c r="U606" s="14"/>
      <c r="Z606" s="14"/>
      <c r="AA606" s="14"/>
    </row>
    <row r="607" spans="14:27" x14ac:dyDescent="0.25">
      <c r="N607" s="15"/>
      <c r="O607" s="15"/>
      <c r="T607" s="15"/>
      <c r="U607" s="14"/>
      <c r="Z607" s="14"/>
      <c r="AA607" s="14"/>
    </row>
    <row r="608" spans="14:27" x14ac:dyDescent="0.25">
      <c r="N608" s="15"/>
      <c r="O608" s="15"/>
      <c r="T608" s="15"/>
      <c r="U608" s="14"/>
      <c r="Z608" s="14"/>
      <c r="AA608" s="14"/>
    </row>
    <row r="609" spans="14:27" x14ac:dyDescent="0.25">
      <c r="N609" s="15"/>
      <c r="O609" s="15"/>
      <c r="T609" s="15"/>
      <c r="U609" s="14"/>
      <c r="Z609" s="14"/>
      <c r="AA609" s="14"/>
    </row>
    <row r="610" spans="14:27" x14ac:dyDescent="0.25">
      <c r="N610" s="15"/>
      <c r="O610" s="15"/>
      <c r="T610" s="15"/>
      <c r="U610" s="14"/>
      <c r="Z610" s="14"/>
      <c r="AA610" s="14"/>
    </row>
    <row r="611" spans="14:27" x14ac:dyDescent="0.25">
      <c r="N611" s="15"/>
      <c r="O611" s="15"/>
      <c r="T611" s="15"/>
      <c r="U611" s="14"/>
      <c r="Z611" s="14"/>
      <c r="AA611" s="14"/>
    </row>
    <row r="612" spans="14:27" x14ac:dyDescent="0.25">
      <c r="N612" s="15"/>
      <c r="O612" s="15"/>
      <c r="T612" s="15"/>
      <c r="U612" s="14"/>
      <c r="Z612" s="14"/>
      <c r="AA612" s="14"/>
    </row>
    <row r="613" spans="14:27" x14ac:dyDescent="0.25">
      <c r="N613" s="15"/>
      <c r="O613" s="15"/>
      <c r="T613" s="15"/>
      <c r="U613" s="14"/>
      <c r="Z613" s="14"/>
      <c r="AA613" s="14"/>
    </row>
    <row r="614" spans="14:27" x14ac:dyDescent="0.25">
      <c r="N614" s="15"/>
      <c r="O614" s="15"/>
      <c r="T614" s="15"/>
      <c r="U614" s="14"/>
      <c r="Z614" s="14"/>
      <c r="AA614" s="14"/>
    </row>
    <row r="615" spans="14:27" x14ac:dyDescent="0.25">
      <c r="N615" s="15"/>
      <c r="O615" s="15"/>
      <c r="T615" s="15"/>
      <c r="U615" s="14"/>
      <c r="Z615" s="14"/>
      <c r="AA615" s="14"/>
    </row>
    <row r="616" spans="14:27" x14ac:dyDescent="0.25">
      <c r="N616" s="15"/>
      <c r="O616" s="15"/>
      <c r="T616" s="15"/>
      <c r="U616" s="14"/>
      <c r="Z616" s="14"/>
      <c r="AA616" s="14"/>
    </row>
    <row r="617" spans="14:27" x14ac:dyDescent="0.25">
      <c r="N617" s="15"/>
      <c r="O617" s="15"/>
      <c r="T617" s="15"/>
      <c r="U617" s="14"/>
      <c r="Z617" s="14"/>
      <c r="AA617" s="14"/>
    </row>
    <row r="618" spans="14:27" x14ac:dyDescent="0.25">
      <c r="N618" s="15"/>
      <c r="O618" s="15"/>
      <c r="T618" s="15"/>
      <c r="U618" s="14"/>
      <c r="Z618" s="14"/>
      <c r="AA618" s="14"/>
    </row>
    <row r="619" spans="14:27" x14ac:dyDescent="0.25">
      <c r="N619" s="15"/>
      <c r="O619" s="15"/>
      <c r="T619" s="15"/>
      <c r="U619" s="14"/>
      <c r="Z619" s="14"/>
      <c r="AA619" s="14"/>
    </row>
    <row r="620" spans="14:27" x14ac:dyDescent="0.25">
      <c r="N620" s="15"/>
      <c r="O620" s="15"/>
      <c r="T620" s="15"/>
      <c r="U620" s="14"/>
      <c r="Z620" s="14"/>
      <c r="AA620" s="14"/>
    </row>
    <row r="621" spans="14:27" x14ac:dyDescent="0.25">
      <c r="N621" s="15"/>
      <c r="O621" s="15"/>
      <c r="T621" s="15"/>
      <c r="U621" s="14"/>
      <c r="Z621" s="14"/>
      <c r="AA621" s="14"/>
    </row>
    <row r="622" spans="14:27" x14ac:dyDescent="0.25">
      <c r="N622" s="15"/>
      <c r="O622" s="15"/>
      <c r="T622" s="15"/>
      <c r="U622" s="14"/>
      <c r="Z622" s="14"/>
      <c r="AA622" s="14"/>
    </row>
    <row r="623" spans="14:27" x14ac:dyDescent="0.25">
      <c r="N623" s="15"/>
      <c r="O623" s="15"/>
      <c r="T623" s="15"/>
      <c r="U623" s="14"/>
      <c r="Z623" s="14"/>
      <c r="AA623" s="14"/>
    </row>
    <row r="624" spans="14:27" x14ac:dyDescent="0.25">
      <c r="N624" s="15"/>
      <c r="O624" s="15"/>
      <c r="T624" s="15"/>
      <c r="U624" s="14"/>
      <c r="Z624" s="14"/>
      <c r="AA624" s="14"/>
    </row>
    <row r="625" spans="14:27" x14ac:dyDescent="0.25">
      <c r="N625" s="15"/>
      <c r="O625" s="15"/>
      <c r="T625" s="15"/>
      <c r="U625" s="14"/>
      <c r="Z625" s="14"/>
      <c r="AA625" s="14"/>
    </row>
    <row r="626" spans="14:27" x14ac:dyDescent="0.25">
      <c r="N626" s="15"/>
      <c r="O626" s="15"/>
      <c r="T626" s="15"/>
      <c r="U626" s="14"/>
      <c r="Z626" s="14"/>
      <c r="AA626" s="14"/>
    </row>
    <row r="627" spans="14:27" x14ac:dyDescent="0.25">
      <c r="N627" s="15"/>
      <c r="O627" s="15"/>
      <c r="T627" s="15"/>
      <c r="U627" s="14"/>
      <c r="Z627" s="14"/>
      <c r="AA627" s="14"/>
    </row>
    <row r="628" spans="14:27" x14ac:dyDescent="0.25">
      <c r="N628" s="15"/>
      <c r="O628" s="15"/>
      <c r="T628" s="15"/>
      <c r="U628" s="14"/>
      <c r="Z628" s="14"/>
      <c r="AA628" s="14"/>
    </row>
    <row r="629" spans="14:27" x14ac:dyDescent="0.25">
      <c r="N629" s="15"/>
      <c r="O629" s="15"/>
      <c r="T629" s="15"/>
      <c r="U629" s="14"/>
      <c r="Z629" s="14"/>
      <c r="AA629" s="14"/>
    </row>
    <row r="630" spans="14:27" x14ac:dyDescent="0.25">
      <c r="N630" s="15"/>
      <c r="O630" s="15"/>
      <c r="T630" s="15"/>
      <c r="U630" s="14"/>
      <c r="Z630" s="14"/>
      <c r="AA630" s="14"/>
    </row>
    <row r="631" spans="14:27" x14ac:dyDescent="0.25">
      <c r="N631" s="15"/>
      <c r="O631" s="15"/>
      <c r="T631" s="15"/>
      <c r="U631" s="14"/>
      <c r="Z631" s="14"/>
      <c r="AA631" s="14"/>
    </row>
    <row r="632" spans="14:27" x14ac:dyDescent="0.25">
      <c r="N632" s="15"/>
      <c r="O632" s="15"/>
      <c r="T632" s="15"/>
      <c r="U632" s="14"/>
      <c r="Z632" s="14"/>
      <c r="AA632" s="14"/>
    </row>
    <row r="633" spans="14:27" x14ac:dyDescent="0.25">
      <c r="N633" s="15"/>
      <c r="O633" s="15"/>
      <c r="T633" s="15"/>
      <c r="U633" s="14"/>
      <c r="Z633" s="14"/>
      <c r="AA633" s="14"/>
    </row>
    <row r="634" spans="14:27" x14ac:dyDescent="0.25">
      <c r="N634" s="15"/>
      <c r="O634" s="15"/>
      <c r="T634" s="15"/>
      <c r="U634" s="14"/>
      <c r="Z634" s="14"/>
      <c r="AA634" s="14"/>
    </row>
    <row r="635" spans="14:27" x14ac:dyDescent="0.25">
      <c r="N635" s="15"/>
      <c r="O635" s="15"/>
      <c r="T635" s="15"/>
      <c r="U635" s="14"/>
      <c r="Z635" s="14"/>
      <c r="AA635" s="14"/>
    </row>
    <row r="636" spans="14:27" x14ac:dyDescent="0.25">
      <c r="N636" s="15"/>
      <c r="O636" s="15"/>
      <c r="T636" s="15"/>
      <c r="U636" s="14"/>
      <c r="Z636" s="14"/>
      <c r="AA636" s="14"/>
    </row>
    <row r="637" spans="14:27" x14ac:dyDescent="0.25">
      <c r="N637" s="15"/>
      <c r="O637" s="15"/>
      <c r="T637" s="15"/>
      <c r="U637" s="14"/>
      <c r="Z637" s="14"/>
      <c r="AA637" s="14"/>
    </row>
    <row r="638" spans="14:27" x14ac:dyDescent="0.25">
      <c r="N638" s="15"/>
      <c r="O638" s="15"/>
      <c r="T638" s="15"/>
      <c r="U638" s="14"/>
      <c r="Z638" s="14"/>
      <c r="AA638" s="14"/>
    </row>
    <row r="639" spans="14:27" x14ac:dyDescent="0.25">
      <c r="N639" s="15"/>
      <c r="O639" s="15"/>
      <c r="T639" s="15"/>
      <c r="U639" s="14"/>
      <c r="Z639" s="14"/>
      <c r="AA639" s="14"/>
    </row>
    <row r="640" spans="14:27" x14ac:dyDescent="0.25">
      <c r="N640" s="15"/>
      <c r="O640" s="15"/>
      <c r="T640" s="15"/>
      <c r="U640" s="14"/>
      <c r="Z640" s="14"/>
      <c r="AA640" s="14"/>
    </row>
    <row r="641" spans="14:27" x14ac:dyDescent="0.25">
      <c r="N641" s="15"/>
      <c r="O641" s="15"/>
      <c r="T641" s="15"/>
      <c r="U641" s="14"/>
      <c r="Z641" s="14"/>
      <c r="AA641" s="14"/>
    </row>
    <row r="642" spans="14:27" x14ac:dyDescent="0.25">
      <c r="N642" s="15"/>
      <c r="O642" s="15"/>
      <c r="T642" s="15"/>
      <c r="U642" s="14"/>
      <c r="Z642" s="14"/>
      <c r="AA642" s="14"/>
    </row>
    <row r="643" spans="14:27" x14ac:dyDescent="0.25">
      <c r="N643" s="15"/>
      <c r="O643" s="15"/>
      <c r="T643" s="15"/>
      <c r="U643" s="14"/>
      <c r="Z643" s="14"/>
      <c r="AA643" s="14"/>
    </row>
    <row r="644" spans="14:27" x14ac:dyDescent="0.25">
      <c r="N644" s="15"/>
      <c r="O644" s="15"/>
      <c r="T644" s="15"/>
      <c r="U644" s="14"/>
      <c r="Z644" s="14"/>
      <c r="AA644" s="14"/>
    </row>
    <row r="645" spans="14:27" x14ac:dyDescent="0.25">
      <c r="N645" s="15"/>
      <c r="O645" s="15"/>
      <c r="T645" s="15"/>
      <c r="U645" s="14"/>
      <c r="Z645" s="14"/>
      <c r="AA645" s="14"/>
    </row>
    <row r="646" spans="14:27" x14ac:dyDescent="0.25">
      <c r="N646" s="15"/>
      <c r="O646" s="15"/>
      <c r="T646" s="15"/>
      <c r="U646" s="14"/>
      <c r="Z646" s="14"/>
      <c r="AA646" s="14"/>
    </row>
    <row r="647" spans="14:27" x14ac:dyDescent="0.25">
      <c r="N647" s="15"/>
      <c r="O647" s="15"/>
      <c r="T647" s="15"/>
      <c r="U647" s="14"/>
      <c r="Z647" s="14"/>
      <c r="AA647" s="14"/>
    </row>
    <row r="648" spans="14:27" x14ac:dyDescent="0.25">
      <c r="N648" s="15"/>
      <c r="O648" s="15"/>
      <c r="T648" s="15"/>
      <c r="U648" s="14"/>
      <c r="Z648" s="14"/>
      <c r="AA648" s="14"/>
    </row>
    <row r="649" spans="14:27" x14ac:dyDescent="0.25">
      <c r="N649" s="15"/>
      <c r="O649" s="15"/>
      <c r="T649" s="15"/>
      <c r="U649" s="14"/>
      <c r="Z649" s="14"/>
      <c r="AA649" s="14"/>
    </row>
    <row r="650" spans="14:27" x14ac:dyDescent="0.25">
      <c r="N650" s="15"/>
      <c r="O650" s="15"/>
      <c r="T650" s="15"/>
      <c r="U650" s="14"/>
      <c r="Z650" s="14"/>
      <c r="AA650" s="14"/>
    </row>
    <row r="651" spans="14:27" x14ac:dyDescent="0.25">
      <c r="N651" s="15"/>
      <c r="O651" s="15"/>
      <c r="T651" s="15"/>
      <c r="U651" s="14"/>
      <c r="Z651" s="14"/>
      <c r="AA651" s="14"/>
    </row>
    <row r="652" spans="14:27" x14ac:dyDescent="0.25">
      <c r="N652" s="15"/>
      <c r="O652" s="15"/>
      <c r="T652" s="15"/>
      <c r="U652" s="14"/>
      <c r="Z652" s="14"/>
      <c r="AA652" s="14"/>
    </row>
    <row r="653" spans="14:27" x14ac:dyDescent="0.25">
      <c r="N653" s="15"/>
      <c r="O653" s="15"/>
      <c r="T653" s="15"/>
      <c r="U653" s="14"/>
      <c r="Z653" s="14"/>
      <c r="AA653" s="14"/>
    </row>
    <row r="654" spans="14:27" x14ac:dyDescent="0.25">
      <c r="N654" s="15"/>
      <c r="O654" s="15"/>
      <c r="T654" s="15"/>
      <c r="U654" s="14"/>
      <c r="Z654" s="14"/>
      <c r="AA654" s="14"/>
    </row>
    <row r="655" spans="14:27" x14ac:dyDescent="0.25">
      <c r="N655" s="15"/>
      <c r="O655" s="15"/>
      <c r="T655" s="15"/>
      <c r="U655" s="14"/>
      <c r="Z655" s="14"/>
      <c r="AA655" s="14"/>
    </row>
    <row r="656" spans="14:27" x14ac:dyDescent="0.25">
      <c r="N656" s="15"/>
      <c r="O656" s="15"/>
      <c r="T656" s="15"/>
      <c r="U656" s="14"/>
      <c r="Z656" s="14"/>
      <c r="AA656" s="14"/>
    </row>
    <row r="657" spans="14:27" x14ac:dyDescent="0.25">
      <c r="N657" s="15"/>
      <c r="O657" s="15"/>
      <c r="T657" s="15"/>
      <c r="U657" s="14"/>
      <c r="Z657" s="14"/>
      <c r="AA657" s="14"/>
    </row>
    <row r="658" spans="14:27" x14ac:dyDescent="0.25">
      <c r="N658" s="15"/>
      <c r="O658" s="15"/>
      <c r="T658" s="15"/>
      <c r="U658" s="14"/>
      <c r="Z658" s="14"/>
      <c r="AA658" s="14"/>
    </row>
    <row r="659" spans="14:27" x14ac:dyDescent="0.25">
      <c r="N659" s="15"/>
      <c r="O659" s="15"/>
      <c r="T659" s="15"/>
      <c r="U659" s="14"/>
      <c r="Z659" s="14"/>
      <c r="AA659" s="14"/>
    </row>
    <row r="660" spans="14:27" x14ac:dyDescent="0.25">
      <c r="N660" s="15"/>
      <c r="O660" s="15"/>
      <c r="T660" s="15"/>
      <c r="U660" s="14"/>
      <c r="Z660" s="14"/>
      <c r="AA660" s="14"/>
    </row>
    <row r="661" spans="14:27" x14ac:dyDescent="0.25">
      <c r="N661" s="15"/>
      <c r="O661" s="15"/>
      <c r="T661" s="15"/>
      <c r="U661" s="14"/>
      <c r="Z661" s="14"/>
      <c r="AA661" s="14"/>
    </row>
    <row r="662" spans="14:27" x14ac:dyDescent="0.25">
      <c r="N662" s="15"/>
      <c r="O662" s="15"/>
      <c r="T662" s="15"/>
      <c r="U662" s="14"/>
      <c r="Z662" s="14"/>
      <c r="AA662" s="14"/>
    </row>
    <row r="663" spans="14:27" x14ac:dyDescent="0.25">
      <c r="N663" s="15"/>
      <c r="O663" s="15"/>
      <c r="T663" s="15"/>
      <c r="U663" s="14"/>
      <c r="Z663" s="14"/>
      <c r="AA663" s="14"/>
    </row>
    <row r="664" spans="14:27" x14ac:dyDescent="0.25">
      <c r="N664" s="15"/>
      <c r="O664" s="15"/>
      <c r="T664" s="15"/>
      <c r="U664" s="14"/>
      <c r="Z664" s="14"/>
      <c r="AA664" s="14"/>
    </row>
    <row r="665" spans="14:27" x14ac:dyDescent="0.25">
      <c r="N665" s="15"/>
      <c r="O665" s="15"/>
      <c r="T665" s="15"/>
      <c r="U665" s="14"/>
      <c r="Z665" s="14"/>
      <c r="AA665" s="14"/>
    </row>
    <row r="666" spans="14:27" x14ac:dyDescent="0.25">
      <c r="N666" s="15"/>
      <c r="O666" s="15"/>
      <c r="T666" s="15"/>
      <c r="U666" s="14"/>
      <c r="Z666" s="14"/>
      <c r="AA666" s="14"/>
    </row>
    <row r="667" spans="14:27" x14ac:dyDescent="0.25">
      <c r="N667" s="15"/>
      <c r="O667" s="15"/>
      <c r="T667" s="15"/>
      <c r="U667" s="14"/>
      <c r="Z667" s="14"/>
      <c r="AA667" s="14"/>
    </row>
    <row r="668" spans="14:27" x14ac:dyDescent="0.25">
      <c r="N668" s="15"/>
      <c r="O668" s="15"/>
      <c r="T668" s="15"/>
      <c r="U668" s="14"/>
      <c r="Z668" s="14"/>
      <c r="AA668" s="14"/>
    </row>
    <row r="669" spans="14:27" x14ac:dyDescent="0.25">
      <c r="N669" s="15"/>
      <c r="O669" s="15"/>
      <c r="T669" s="15"/>
      <c r="U669" s="14"/>
      <c r="Z669" s="14"/>
      <c r="AA669" s="14"/>
    </row>
    <row r="670" spans="14:27" x14ac:dyDescent="0.25">
      <c r="N670" s="15"/>
      <c r="O670" s="15"/>
      <c r="T670" s="15"/>
      <c r="U670" s="14"/>
      <c r="Z670" s="14"/>
      <c r="AA670" s="14"/>
    </row>
    <row r="671" spans="14:27" x14ac:dyDescent="0.25">
      <c r="N671" s="15"/>
      <c r="O671" s="15"/>
      <c r="T671" s="15"/>
      <c r="U671" s="14"/>
      <c r="Z671" s="14"/>
      <c r="AA671" s="14"/>
    </row>
    <row r="672" spans="14:27" x14ac:dyDescent="0.25">
      <c r="N672" s="15"/>
      <c r="O672" s="15"/>
      <c r="T672" s="15"/>
      <c r="U672" s="14"/>
      <c r="Z672" s="14"/>
      <c r="AA672" s="14"/>
    </row>
    <row r="673" spans="14:27" x14ac:dyDescent="0.25">
      <c r="N673" s="15"/>
      <c r="O673" s="15"/>
      <c r="T673" s="15"/>
      <c r="U673" s="14"/>
      <c r="Z673" s="14"/>
      <c r="AA673" s="14"/>
    </row>
    <row r="674" spans="14:27" x14ac:dyDescent="0.25">
      <c r="N674" s="15"/>
      <c r="O674" s="15"/>
      <c r="T674" s="15"/>
      <c r="U674" s="14"/>
      <c r="Z674" s="14"/>
      <c r="AA674" s="14"/>
    </row>
    <row r="675" spans="14:27" x14ac:dyDescent="0.25">
      <c r="N675" s="15"/>
      <c r="O675" s="15"/>
      <c r="T675" s="15"/>
      <c r="U675" s="14"/>
    </row>
  </sheetData>
  <sheetProtection algorithmName="SHA-512" hashValue="50T9szBLYn0SuGjDcD2gkK0mdPFayb3z4dN0o4ueccBoYnzcfIGv8v2kqpoHKsZW1W6uUMpxvSJ87+FlRS2EeQ==" saltValue="L19W3xUnbJUp4OfbyIgX5Q==" spinCount="100000" sheet="1" objects="1" scenarios="1"/>
  <mergeCells count="25">
    <mergeCell ref="Z3:AC4"/>
    <mergeCell ref="Z5:AC5"/>
    <mergeCell ref="Z6:Z7"/>
    <mergeCell ref="AA6:AC6"/>
    <mergeCell ref="T3:W4"/>
    <mergeCell ref="T5:W5"/>
    <mergeCell ref="T6:T7"/>
    <mergeCell ref="U6:W6"/>
    <mergeCell ref="Y3:Y7"/>
    <mergeCell ref="N3:Q4"/>
    <mergeCell ref="N5:Q5"/>
    <mergeCell ref="N6:N7"/>
    <mergeCell ref="O6:Q6"/>
    <mergeCell ref="S3:S7"/>
    <mergeCell ref="M3:M7"/>
    <mergeCell ref="H3:K4"/>
    <mergeCell ref="A3:A7"/>
    <mergeCell ref="H5:K5"/>
    <mergeCell ref="H6:H7"/>
    <mergeCell ref="I6:K6"/>
    <mergeCell ref="B3:E4"/>
    <mergeCell ref="B5:E5"/>
    <mergeCell ref="B6:B7"/>
    <mergeCell ref="C6:E6"/>
    <mergeCell ref="G3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0"/>
  <sheetViews>
    <sheetView topLeftCell="A4" zoomScale="90" zoomScaleNormal="90" workbookViewId="0">
      <selection activeCell="M10" sqref="M10"/>
    </sheetView>
  </sheetViews>
  <sheetFormatPr defaultRowHeight="15" x14ac:dyDescent="0.25"/>
  <cols>
    <col min="1" max="1" width="33" style="23" customWidth="1"/>
    <col min="2" max="2" width="16.140625" style="23" customWidth="1"/>
    <col min="3" max="3" width="17.42578125" style="23" customWidth="1"/>
    <col min="4" max="4" width="16.42578125" style="23" customWidth="1"/>
    <col min="5" max="16384" width="9.140625" style="23"/>
  </cols>
  <sheetData>
    <row r="1" spans="1:17" ht="15.75" thickBot="1" x14ac:dyDescent="0.3">
      <c r="A1" s="26" t="str">
        <f>'Ставка мечты'!E4</f>
        <v>Москва, Моск.обл., Санкт-Петербург, Лен.обл.</v>
      </c>
      <c r="B1" s="27">
        <f>VLOOKUP(A1,A2:B3,2,0)</f>
        <v>12000000</v>
      </c>
      <c r="C1" s="36">
        <f>'Ставка мечты'!E3</f>
        <v>10299000</v>
      </c>
      <c r="D1" s="36">
        <f>'Ставка мечты'!G17</f>
        <v>5484939.4472621884</v>
      </c>
      <c r="E1" s="28">
        <f>'Ставка мечты'!E8/12</f>
        <v>10</v>
      </c>
      <c r="F1" s="28" t="str">
        <f>IF(E1&gt;E2,"Срок кредита не может быть болшь 30 лет (360 мес.)","")</f>
        <v/>
      </c>
      <c r="G1" s="28" t="str">
        <f>IF(E1&lt;E3,"Срок кредита не может быть меньше 1 года (12 мес.)","")</f>
        <v/>
      </c>
      <c r="H1" s="28"/>
      <c r="I1" s="28"/>
      <c r="J1" s="28" t="s">
        <v>46</v>
      </c>
      <c r="K1" s="36" t="str">
        <f>'Ставка мечты'!E11</f>
        <v>нет</v>
      </c>
      <c r="L1" s="28"/>
      <c r="M1" s="53" t="s">
        <v>17</v>
      </c>
      <c r="N1" s="36" t="str">
        <f>'Ставка мечты'!E12</f>
        <v>нет</v>
      </c>
      <c r="O1" s="28"/>
      <c r="P1" s="54" t="s">
        <v>18</v>
      </c>
      <c r="Q1" s="36" t="str">
        <f>'Ставка мечты'!E13</f>
        <v>Со страхованием</v>
      </c>
    </row>
    <row r="2" spans="1:17" x14ac:dyDescent="0.25">
      <c r="A2" s="28" t="s">
        <v>128</v>
      </c>
      <c r="B2" s="258">
        <f>IF(A6=A8,D2,C2)</f>
        <v>12000000</v>
      </c>
      <c r="C2" s="130">
        <v>12000000</v>
      </c>
      <c r="D2" s="130">
        <v>6000000</v>
      </c>
      <c r="E2" s="28">
        <v>30</v>
      </c>
      <c r="F2" s="28" t="s">
        <v>53</v>
      </c>
      <c r="G2" s="28"/>
      <c r="H2" s="28"/>
      <c r="I2" s="28"/>
      <c r="J2" s="28" t="s">
        <v>55</v>
      </c>
      <c r="K2" s="55">
        <f>IF(K1=J2,1,0)</f>
        <v>0</v>
      </c>
      <c r="L2" s="28"/>
      <c r="M2" s="28" t="s">
        <v>55</v>
      </c>
      <c r="N2" s="55">
        <f>IF(N1=M2,1,0)</f>
        <v>0</v>
      </c>
      <c r="O2" s="28"/>
      <c r="P2" s="54" t="s">
        <v>59</v>
      </c>
      <c r="Q2" s="55">
        <f>IF(Q1=P2,0,1)</f>
        <v>0</v>
      </c>
    </row>
    <row r="3" spans="1:17" x14ac:dyDescent="0.25">
      <c r="A3" s="28" t="s">
        <v>129</v>
      </c>
      <c r="B3" s="258">
        <v>6000000</v>
      </c>
      <c r="C3" s="130">
        <v>6000000</v>
      </c>
      <c r="D3" s="130">
        <v>6000000</v>
      </c>
      <c r="E3" s="28">
        <v>1</v>
      </c>
      <c r="F3" s="28" t="s">
        <v>54</v>
      </c>
      <c r="G3" s="28"/>
      <c r="H3" s="28"/>
      <c r="I3" s="28"/>
      <c r="J3" s="28" t="s">
        <v>16</v>
      </c>
      <c r="K3" s="28"/>
      <c r="L3" s="28"/>
      <c r="M3" s="28" t="s">
        <v>16</v>
      </c>
      <c r="N3" s="28"/>
      <c r="O3" s="28"/>
      <c r="P3" s="54" t="s">
        <v>19</v>
      </c>
      <c r="Q3" s="28"/>
    </row>
    <row r="4" spans="1:17" ht="15.75" thickBot="1" x14ac:dyDescent="0.3">
      <c r="F4" s="23" t="str">
        <f>IF(OR(A6=A7,A6=A8),IF(D1&gt;B1,"По программам с господдержкой сумма кредита для выдранного региона не может быть больше "&amp;B1/1000/1000&amp;" млн. руб.",""),"")</f>
        <v/>
      </c>
    </row>
    <row r="5" spans="1:17" ht="15.75" thickBot="1" x14ac:dyDescent="0.3">
      <c r="A5" s="35">
        <f>'Ставка мечты'!E7</f>
        <v>0.47687447554173451</v>
      </c>
      <c r="B5" s="29" t="s">
        <v>34</v>
      </c>
      <c r="C5" s="29" t="s">
        <v>35</v>
      </c>
      <c r="D5" s="362" t="s">
        <v>50</v>
      </c>
      <c r="E5" s="362"/>
      <c r="F5" s="362"/>
      <c r="G5" s="362"/>
      <c r="H5" s="67">
        <f>VLOOKUP(A6,A7:H11,8,0)</f>
        <v>0.2001</v>
      </c>
      <c r="I5" s="28" t="str">
        <f>IF(A5&lt;H5,"Необходимо увеличить ПВ, минимальный ПВ="&amp;C1*H5,"")</f>
        <v/>
      </c>
      <c r="J5" s="28"/>
    </row>
    <row r="6" spans="1:17" ht="15.75" thickBot="1" x14ac:dyDescent="0.3">
      <c r="A6" s="30" t="str">
        <f>'Ставка мечты'!E5</f>
        <v>Господдержка Семейная</v>
      </c>
      <c r="B6" s="33" t="s">
        <v>36</v>
      </c>
      <c r="C6" s="34" t="s">
        <v>36</v>
      </c>
      <c r="D6" s="56" t="s">
        <v>46</v>
      </c>
      <c r="E6" s="57" t="s">
        <v>47</v>
      </c>
      <c r="F6" s="57" t="s">
        <v>48</v>
      </c>
      <c r="G6" s="56" t="s">
        <v>49</v>
      </c>
      <c r="H6" s="34" t="s">
        <v>51</v>
      </c>
      <c r="I6" s="55">
        <f>IF(A5&lt;20.01%,2,3)</f>
        <v>3</v>
      </c>
      <c r="J6" s="28" t="str">
        <f>IF(A5&lt;H5,"ПВ должен быть не менее "&amp;H5*100&amp;"%","")</f>
        <v/>
      </c>
      <c r="M6" s="109"/>
    </row>
    <row r="7" spans="1:17" x14ac:dyDescent="0.25">
      <c r="A7" s="28" t="s">
        <v>37</v>
      </c>
      <c r="B7" s="117"/>
      <c r="C7" s="117">
        <v>0.06</v>
      </c>
      <c r="D7" s="58"/>
      <c r="E7" s="59"/>
      <c r="F7" s="58">
        <v>0</v>
      </c>
      <c r="G7" s="59"/>
      <c r="H7" s="31">
        <v>0.2001</v>
      </c>
      <c r="I7" s="60" t="s">
        <v>56</v>
      </c>
      <c r="J7" s="61">
        <f>VLOOKUP(A6,A7:G11,I6,0)</f>
        <v>0.06</v>
      </c>
      <c r="K7" s="263">
        <f>J7-0.01%</f>
        <v>5.9899999999999995E-2</v>
      </c>
      <c r="L7" s="264">
        <f>VLOOKUP(A6,A7:M11,13,0)</f>
        <v>3.9E-2</v>
      </c>
      <c r="M7" s="44">
        <f>' на весь срок'!J7</f>
        <v>3.9E-2</v>
      </c>
    </row>
    <row r="8" spans="1:17" x14ac:dyDescent="0.25">
      <c r="A8" s="28" t="s">
        <v>12</v>
      </c>
      <c r="B8" s="117"/>
      <c r="C8" s="117">
        <v>0.08</v>
      </c>
      <c r="D8" s="58"/>
      <c r="E8" s="62"/>
      <c r="F8" s="58">
        <v>0.01</v>
      </c>
      <c r="G8" s="59"/>
      <c r="H8" s="31">
        <v>0.30009999999999998</v>
      </c>
      <c r="I8" s="60" t="s">
        <v>57</v>
      </c>
      <c r="J8" s="61">
        <f>VLOOKUP(A6,A7:G11,4,0)*K2</f>
        <v>0</v>
      </c>
      <c r="M8" s="44">
        <f>' на весь срок'!D7</f>
        <v>3.9E-2</v>
      </c>
    </row>
    <row r="9" spans="1:17" x14ac:dyDescent="0.25">
      <c r="A9" s="28" t="s">
        <v>38</v>
      </c>
      <c r="B9" s="117">
        <v>0.17799999999999999</v>
      </c>
      <c r="C9" s="117">
        <v>0.16800000000000001</v>
      </c>
      <c r="D9" s="58">
        <v>-2E-3</v>
      </c>
      <c r="E9" s="58">
        <v>-5.0000000000000001E-3</v>
      </c>
      <c r="F9" s="58">
        <v>0.01</v>
      </c>
      <c r="G9" s="58">
        <v>-3.0000000000000001E-3</v>
      </c>
      <c r="H9" s="31">
        <v>0.10009999999999999</v>
      </c>
      <c r="I9" s="60" t="s">
        <v>58</v>
      </c>
      <c r="J9" s="61">
        <f>VLOOKUP(A6,A7:G11,7,0)*N2</f>
        <v>0</v>
      </c>
    </row>
    <row r="10" spans="1:17" ht="15.75" thickBot="1" x14ac:dyDescent="0.3">
      <c r="A10" s="28" t="s">
        <v>39</v>
      </c>
      <c r="B10" s="117">
        <v>0.17799999999999999</v>
      </c>
      <c r="C10" s="117">
        <v>0.16800000000000001</v>
      </c>
      <c r="D10" s="58">
        <v>-2E-3</v>
      </c>
      <c r="E10" s="59"/>
      <c r="F10" s="58">
        <v>0.01</v>
      </c>
      <c r="G10" s="58">
        <v>-3.0000000000000001E-3</v>
      </c>
      <c r="H10" s="31">
        <v>0.10009999999999999</v>
      </c>
      <c r="I10" s="63" t="s">
        <v>60</v>
      </c>
      <c r="J10" s="64">
        <f>VLOOKUP(A6,A7:G11,6,0)*Q2</f>
        <v>0</v>
      </c>
    </row>
    <row r="11" spans="1:17" ht="15.75" thickBot="1" x14ac:dyDescent="0.3">
      <c r="A11" s="28" t="s">
        <v>40</v>
      </c>
      <c r="B11" s="117">
        <v>0.17199999999999999</v>
      </c>
      <c r="C11" s="117">
        <v>0.17199999999999999</v>
      </c>
      <c r="D11" s="58">
        <v>-2E-3</v>
      </c>
      <c r="E11" s="59"/>
      <c r="F11" s="58">
        <v>0.01</v>
      </c>
      <c r="G11" s="58">
        <v>-3.0000000000000001E-3</v>
      </c>
      <c r="H11" s="31">
        <v>0.2001</v>
      </c>
      <c r="I11" s="28"/>
      <c r="J11" s="65">
        <f>SUM(J7:J10)</f>
        <v>0.06</v>
      </c>
    </row>
    <row r="12" spans="1:17" ht="15.75" thickBot="1" x14ac:dyDescent="0.3">
      <c r="A12" s="30" t="str">
        <f>'Ставка мечты'!E9</f>
        <v>5 лет</v>
      </c>
      <c r="B12" s="32"/>
    </row>
    <row r="13" spans="1:17" x14ac:dyDescent="0.25">
      <c r="A13" s="28" t="s">
        <v>14</v>
      </c>
      <c r="B13" s="32">
        <v>12</v>
      </c>
      <c r="C13" s="52"/>
    </row>
    <row r="14" spans="1:17" x14ac:dyDescent="0.25">
      <c r="A14" s="28" t="s">
        <v>41</v>
      </c>
      <c r="B14" s="32">
        <v>24</v>
      </c>
      <c r="C14" s="52"/>
    </row>
    <row r="15" spans="1:17" x14ac:dyDescent="0.25">
      <c r="A15" s="28" t="s">
        <v>42</v>
      </c>
      <c r="B15" s="32">
        <v>60</v>
      </c>
      <c r="C15" s="52"/>
    </row>
    <row r="16" spans="1:17" x14ac:dyDescent="0.25">
      <c r="A16" s="28" t="s">
        <v>43</v>
      </c>
      <c r="B16" s="32" t="str">
        <f>A16</f>
        <v>весь срок кредита</v>
      </c>
      <c r="C16" s="52"/>
    </row>
    <row r="18" spans="1:32" x14ac:dyDescent="0.25">
      <c r="A18" s="28"/>
      <c r="B18" s="28"/>
      <c r="C18" s="28"/>
      <c r="D18" s="28" t="s">
        <v>149</v>
      </c>
      <c r="E18" s="28"/>
      <c r="F18" s="28"/>
      <c r="G18" s="28"/>
      <c r="H18" s="28"/>
      <c r="I18" s="28"/>
      <c r="J18" s="28" t="s">
        <v>63</v>
      </c>
      <c r="K18" s="28"/>
      <c r="L18" s="28"/>
      <c r="M18" s="28"/>
      <c r="N18" s="28"/>
      <c r="O18" s="28"/>
      <c r="P18" s="28" t="s">
        <v>64</v>
      </c>
      <c r="Q18" s="28"/>
      <c r="R18" s="28"/>
      <c r="S18" s="28"/>
      <c r="T18" s="28"/>
      <c r="U18" s="28"/>
      <c r="V18" s="28" t="s">
        <v>65</v>
      </c>
      <c r="W18" s="28"/>
      <c r="X18" s="28"/>
      <c r="Y18" s="28"/>
      <c r="Z18" s="28"/>
      <c r="AA18" s="28"/>
      <c r="AB18" s="28" t="s">
        <v>66</v>
      </c>
      <c r="AC18" s="28"/>
      <c r="AD18" s="28"/>
      <c r="AE18" s="28"/>
      <c r="AF18" s="28"/>
    </row>
    <row r="19" spans="1:32" ht="63.75" x14ac:dyDescent="0.25">
      <c r="A19" s="28">
        <v>1</v>
      </c>
      <c r="B19" s="43" t="s">
        <v>62</v>
      </c>
      <c r="C19" s="43" t="s">
        <v>67</v>
      </c>
      <c r="D19" s="42" t="s">
        <v>37</v>
      </c>
      <c r="E19" s="42" t="s">
        <v>12</v>
      </c>
      <c r="F19" s="42" t="s">
        <v>38</v>
      </c>
      <c r="G19" s="42" t="s">
        <v>39</v>
      </c>
      <c r="H19" s="42" t="s">
        <v>40</v>
      </c>
      <c r="I19" s="43" t="s">
        <v>43</v>
      </c>
      <c r="J19" s="42" t="s">
        <v>37</v>
      </c>
      <c r="K19" s="42" t="s">
        <v>12</v>
      </c>
      <c r="L19" s="42" t="s">
        <v>38</v>
      </c>
      <c r="M19" s="42" t="s">
        <v>39</v>
      </c>
      <c r="N19" s="42" t="s">
        <v>40</v>
      </c>
      <c r="O19" s="43" t="s">
        <v>14</v>
      </c>
      <c r="P19" s="42" t="s">
        <v>37</v>
      </c>
      <c r="Q19" s="42" t="s">
        <v>12</v>
      </c>
      <c r="R19" s="42" t="s">
        <v>38</v>
      </c>
      <c r="S19" s="42" t="s">
        <v>39</v>
      </c>
      <c r="T19" s="42" t="s">
        <v>40</v>
      </c>
      <c r="U19" s="43" t="s">
        <v>41</v>
      </c>
      <c r="V19" s="42" t="s">
        <v>37</v>
      </c>
      <c r="W19" s="42" t="s">
        <v>12</v>
      </c>
      <c r="X19" s="42" t="s">
        <v>38</v>
      </c>
      <c r="Y19" s="42" t="s">
        <v>39</v>
      </c>
      <c r="Z19" s="42" t="s">
        <v>40</v>
      </c>
      <c r="AA19" s="43" t="s">
        <v>42</v>
      </c>
      <c r="AB19" s="42" t="s">
        <v>37</v>
      </c>
      <c r="AC19" s="42" t="s">
        <v>12</v>
      </c>
      <c r="AD19" s="42" t="s">
        <v>38</v>
      </c>
      <c r="AE19" s="42" t="s">
        <v>39</v>
      </c>
      <c r="AF19" s="42" t="s">
        <v>40</v>
      </c>
    </row>
    <row r="20" spans="1:32" x14ac:dyDescent="0.25">
      <c r="A20" s="28">
        <f>A19+1</f>
        <v>2</v>
      </c>
      <c r="B20" s="66">
        <f>IF(HLOOKUP($A$6,$D$19:$H$112,A20,0)=0,"",HLOOKUP($A$6,$D$19:$H$112,A20,0))</f>
        <v>5.8999999999999997E-2</v>
      </c>
      <c r="C20" s="66">
        <f>IF($A$12=$I$19,I20,IF($A$12=$O$19,O20,IF($A$12=$U$19,U20,IF($A$12=$AA$19,AA20))))</f>
        <v>3.39E-2</v>
      </c>
      <c r="D20" s="31">
        <f>IF($A$12=$A$16,' на весь срок'!I7,'льготный период'!H8)</f>
        <v>5.8999999999999997E-2</v>
      </c>
      <c r="E20" s="31">
        <f>IF($A$12=$A$16,' на весь срок'!C7,'льготный период'!B8)</f>
        <v>7.9000000000000001E-2</v>
      </c>
      <c r="F20" s="31">
        <f>' на весь срок'!S7</f>
        <v>0.16700000000000001</v>
      </c>
      <c r="G20" s="31">
        <f>' на весь срок'!N9</f>
        <v>0.16500000000000001</v>
      </c>
      <c r="H20" s="31">
        <f>' на весь срок'!W7</f>
        <v>0.17099999999999999</v>
      </c>
      <c r="I20" s="66">
        <f>HLOOKUP($A$6,$J$19:$N$112,A20,0)</f>
        <v>3.9E-2</v>
      </c>
      <c r="J20" s="31">
        <f>' на весь срок'!J7</f>
        <v>3.9E-2</v>
      </c>
      <c r="K20" s="31">
        <f>' на весь срок'!D7</f>
        <v>3.9E-2</v>
      </c>
      <c r="L20" s="31">
        <f>' на весь срок'!T7</f>
        <v>3.5499999999999997E-2</v>
      </c>
      <c r="M20" s="31">
        <f>' на весь срок'!O9</f>
        <v>5.1000000000000004E-3</v>
      </c>
      <c r="N20" s="31">
        <f>' на весь срок'!X7</f>
        <v>1.9E-3</v>
      </c>
      <c r="O20" s="66">
        <f>HLOOKUP($A$6,$P$19:$T$112,A20,0)</f>
        <v>3.0700000000000002E-2</v>
      </c>
      <c r="P20" s="31">
        <f>'льготный период'!I8</f>
        <v>3.0700000000000002E-2</v>
      </c>
      <c r="Q20" s="31">
        <f>'льготный период'!C8</f>
        <v>2.8299999999999999E-2</v>
      </c>
      <c r="R20" s="31">
        <f>'льготный период'!U8</f>
        <v>8.2000000000000007E-3</v>
      </c>
      <c r="S20" s="31">
        <f>'льготный период'!O9</f>
        <v>8.9999999999999998E-4</v>
      </c>
      <c r="T20" s="31">
        <f>'льготный период'!AA8</f>
        <v>2.9999999999999997E-4</v>
      </c>
      <c r="U20" s="66">
        <f t="shared" ref="U20:U51" si="0">HLOOKUP($A$6,$V$19:$Z$112,A20,0)</f>
        <v>3.1600000000000003E-2</v>
      </c>
      <c r="V20" s="31">
        <f>'льготный период'!J8</f>
        <v>3.1600000000000003E-2</v>
      </c>
      <c r="W20" s="31">
        <f>'льготный период'!D8</f>
        <v>2.92E-2</v>
      </c>
      <c r="X20" s="31">
        <f>'льготный период'!V8</f>
        <v>1.5599999999999999E-2</v>
      </c>
      <c r="Y20" s="31">
        <f>'льготный период'!P9</f>
        <v>1.6999999999999999E-3</v>
      </c>
      <c r="Z20" s="31">
        <f>'льготный период'!AB8</f>
        <v>5.0000000000000001E-4</v>
      </c>
      <c r="AA20" s="66">
        <f t="shared" ref="AA20:AA51" si="1">HLOOKUP($A$6,$AB$19:$AF$112,A20,0)</f>
        <v>3.39E-2</v>
      </c>
      <c r="AB20" s="31">
        <f>'льготный период'!K8</f>
        <v>3.39E-2</v>
      </c>
      <c r="AC20" s="67">
        <f>K20</f>
        <v>3.9E-2</v>
      </c>
      <c r="AD20" s="31">
        <f>'льготный период'!W8</f>
        <v>3.1699999999999999E-2</v>
      </c>
      <c r="AE20" s="31">
        <f>'льготный период'!Q9</f>
        <v>3.3999999999999998E-3</v>
      </c>
      <c r="AF20" s="31">
        <f>'льготный период'!AC8</f>
        <v>1E-3</v>
      </c>
    </row>
    <row r="21" spans="1:32" x14ac:dyDescent="0.25">
      <c r="A21" s="28">
        <f>A20+1</f>
        <v>3</v>
      </c>
      <c r="B21" s="66">
        <f>IF(HLOOKUP($A$6,$D$19:$H$112,A21,0)=0,"",HLOOKUP($A$6,$D$19:$H$112,A21,0))</f>
        <v>5.7999999999999996E-2</v>
      </c>
      <c r="C21" s="66">
        <f t="shared" ref="C21:C84" si="2">IF($A$12=$I$19,I21,IF($A$12=$O$19,O21,IF($A$12=$U$19,U21,IF($A$12=$AA$19,AA21))))</f>
        <v>3.7999999999999999E-2</v>
      </c>
      <c r="D21" s="31">
        <f>IF($A$12=$A$16,' на весь срок'!I8,'льготный период'!H9)</f>
        <v>5.7999999999999996E-2</v>
      </c>
      <c r="E21" s="31">
        <f>IF($A$12=$A$16,' на весь срок'!C8,'льготный период'!B9)</f>
        <v>7.8E-2</v>
      </c>
      <c r="F21" s="31">
        <f>' на весь срок'!S8</f>
        <v>0.16600000000000001</v>
      </c>
      <c r="G21" s="31">
        <f>' на весь срок'!N10</f>
        <v>0.16400000000000001</v>
      </c>
      <c r="H21" s="31">
        <f>' на весь срок'!W8</f>
        <v>0.16999999999999998</v>
      </c>
      <c r="I21" s="66">
        <f t="shared" ref="I21:I51" si="3">HLOOKUP($A$6,$J$19:$N$112,A21,0)</f>
        <v>4.5100000000000001E-2</v>
      </c>
      <c r="J21" s="31">
        <f>' на весь срок'!J8</f>
        <v>4.5100000000000001E-2</v>
      </c>
      <c r="K21" s="31">
        <f>' на весь срок'!D8</f>
        <v>4.53E-2</v>
      </c>
      <c r="L21" s="31">
        <f>' на весь срок'!T8</f>
        <v>3.9800000000000002E-2</v>
      </c>
      <c r="M21" s="31">
        <f>' на весь срок'!O10</f>
        <v>9.2999999999999992E-3</v>
      </c>
      <c r="N21" s="31">
        <f>' на весь срок'!X8</f>
        <v>2.3999999999999998E-3</v>
      </c>
      <c r="O21" s="66">
        <f t="shared" ref="O21:O51" si="4">HLOOKUP($A$6,$P$19:$T$112,A21,0)</f>
        <v>3.1699999999999999E-2</v>
      </c>
      <c r="P21" s="31">
        <f>'льготный период'!I9</f>
        <v>3.1699999999999999E-2</v>
      </c>
      <c r="Q21" s="31">
        <f>'льготный период'!C9</f>
        <v>2.93E-2</v>
      </c>
      <c r="R21" s="31">
        <f>'льготный период'!U9</f>
        <v>9.1999999999999998E-3</v>
      </c>
      <c r="S21" s="31">
        <f>'льготный период'!O10</f>
        <v>1.1000000000000001E-3</v>
      </c>
      <c r="T21" s="31">
        <f>'льготный период'!AA9</f>
        <v>5.0000000000000001E-4</v>
      </c>
      <c r="U21" s="66">
        <f t="shared" si="0"/>
        <v>3.3500000000000002E-2</v>
      </c>
      <c r="V21" s="31">
        <f>'льготный период'!J9</f>
        <v>3.3500000000000002E-2</v>
      </c>
      <c r="W21" s="31">
        <f>'льготный период'!D9</f>
        <v>3.1099999999999999E-2</v>
      </c>
      <c r="X21" s="31">
        <f>'льготный период'!V9</f>
        <v>1.7500000000000002E-2</v>
      </c>
      <c r="Y21" s="31">
        <f>'льготный период'!P10</f>
        <v>2.0999999999999999E-3</v>
      </c>
      <c r="Z21" s="31">
        <f>'льготный период'!AB9</f>
        <v>1E-3</v>
      </c>
      <c r="AA21" s="66">
        <f t="shared" si="1"/>
        <v>3.7999999999999999E-2</v>
      </c>
      <c r="AB21" s="31">
        <f>'льготный период'!K9</f>
        <v>3.7999999999999999E-2</v>
      </c>
      <c r="AC21" s="67">
        <f t="shared" ref="AC21:AC84" si="5">K21</f>
        <v>4.53E-2</v>
      </c>
      <c r="AD21" s="31">
        <f>'льготный период'!W9</f>
        <v>3.5499999999999997E-2</v>
      </c>
      <c r="AE21" s="31">
        <f>'льготный период'!Q10</f>
        <v>4.1999999999999997E-3</v>
      </c>
      <c r="AF21" s="31">
        <f>'льготный период'!AC9</f>
        <v>2.0999999999999999E-3</v>
      </c>
    </row>
    <row r="22" spans="1:32" x14ac:dyDescent="0.25">
      <c r="A22" s="28">
        <f t="shared" ref="A22:A34" si="6">A21+1</f>
        <v>4</v>
      </c>
      <c r="B22" s="66">
        <f t="shared" ref="B22:B51" si="7">IF(HLOOKUP($A$6,$D$19:$H$112,A22,0)=0,"",HLOOKUP($A$6,$D$19:$H$112,A22,0))</f>
        <v>5.6999999999999995E-2</v>
      </c>
      <c r="C22" s="66">
        <f t="shared" si="2"/>
        <v>4.2000000000000003E-2</v>
      </c>
      <c r="D22" s="31">
        <f>IF($A$12=$A$16,' на весь срок'!I9,'льготный период'!H10)</f>
        <v>5.6999999999999995E-2</v>
      </c>
      <c r="E22" s="31">
        <f>IF($A$12=$A$16,' на весь срок'!C9,'льготный период'!B10)</f>
        <v>7.6999999999999999E-2</v>
      </c>
      <c r="F22" s="31">
        <f>' на весь срок'!S9</f>
        <v>0.16500000000000001</v>
      </c>
      <c r="G22" s="31">
        <f>' на весь срок'!N11</f>
        <v>0.16300000000000001</v>
      </c>
      <c r="H22" s="31">
        <f>' на весь срок'!W9</f>
        <v>0.16899999999999998</v>
      </c>
      <c r="I22" s="66">
        <f t="shared" si="3"/>
        <v>5.11E-2</v>
      </c>
      <c r="J22" s="31">
        <f>' на весь срок'!J9</f>
        <v>5.11E-2</v>
      </c>
      <c r="K22" s="31">
        <f>' на весь срок'!D9</f>
        <v>5.1499999999999997E-2</v>
      </c>
      <c r="L22" s="31">
        <f>' на весь срок'!T9</f>
        <v>4.41E-2</v>
      </c>
      <c r="M22" s="31">
        <f>' на весь срок'!O11</f>
        <v>1.3599999999999999E-2</v>
      </c>
      <c r="N22" s="31">
        <f>' на весь срок'!X9</f>
        <v>6.6E-3</v>
      </c>
      <c r="O22" s="66">
        <f t="shared" si="4"/>
        <v>3.27E-2</v>
      </c>
      <c r="P22" s="31">
        <f>'льготный период'!I10</f>
        <v>3.27E-2</v>
      </c>
      <c r="Q22" s="31">
        <f>'льготный период'!C10</f>
        <v>3.0200000000000001E-2</v>
      </c>
      <c r="R22" s="31">
        <f>'льготный период'!U10</f>
        <v>1.0200000000000001E-2</v>
      </c>
      <c r="S22" s="31">
        <f>'льготный период'!O11</f>
        <v>2.0999999999999999E-3</v>
      </c>
      <c r="T22" s="31">
        <f>'льготный период'!AA10</f>
        <v>1.5E-3</v>
      </c>
      <c r="U22" s="66">
        <f t="shared" si="0"/>
        <v>3.5299999999999998E-2</v>
      </c>
      <c r="V22" s="31">
        <f>'льготный период'!J10</f>
        <v>3.5299999999999998E-2</v>
      </c>
      <c r="W22" s="31">
        <f>'льготный период'!D10</f>
        <v>3.3000000000000002E-2</v>
      </c>
      <c r="X22" s="31">
        <f>'льготный период'!V10</f>
        <v>1.9400000000000001E-2</v>
      </c>
      <c r="Y22" s="31">
        <f>'льготный период'!P11</f>
        <v>3.8999999999999998E-3</v>
      </c>
      <c r="Z22" s="31">
        <f>'льготный период'!AB10</f>
        <v>2.8999999999999998E-3</v>
      </c>
      <c r="AA22" s="66">
        <f t="shared" si="1"/>
        <v>4.2000000000000003E-2</v>
      </c>
      <c r="AB22" s="31">
        <f>'льготный период'!K10</f>
        <v>4.2000000000000003E-2</v>
      </c>
      <c r="AC22" s="67">
        <f t="shared" si="5"/>
        <v>5.1499999999999997E-2</v>
      </c>
      <c r="AD22" s="31">
        <f>'льготный период'!W10</f>
        <v>3.9300000000000002E-2</v>
      </c>
      <c r="AE22" s="31">
        <f>'льготный период'!Q11</f>
        <v>8.0000000000000002E-3</v>
      </c>
      <c r="AF22" s="31">
        <f>'льготный период'!AC10</f>
        <v>5.8999999999999999E-3</v>
      </c>
    </row>
    <row r="23" spans="1:32" x14ac:dyDescent="0.25">
      <c r="A23" s="28">
        <f t="shared" si="6"/>
        <v>5</v>
      </c>
      <c r="B23" s="66">
        <f t="shared" si="7"/>
        <v>5.5999999999999994E-2</v>
      </c>
      <c r="C23" s="66">
        <f t="shared" si="2"/>
        <v>4.6100000000000002E-2</v>
      </c>
      <c r="D23" s="31">
        <f>IF($A$12=$A$16,' на весь срок'!I10,'льготный период'!H11)</f>
        <v>5.5999999999999994E-2</v>
      </c>
      <c r="E23" s="31">
        <f>IF($A$12=$A$16,' на весь срок'!C10,'льготный период'!B11)</f>
        <v>7.5999999999999998E-2</v>
      </c>
      <c r="F23" s="31">
        <f>' на весь срок'!S10</f>
        <v>0.16400000000000001</v>
      </c>
      <c r="G23" s="31">
        <f>' на весь срок'!N12</f>
        <v>0.16200000000000001</v>
      </c>
      <c r="H23" s="31">
        <f>' на весь срок'!W10</f>
        <v>0.16799999999999998</v>
      </c>
      <c r="I23" s="66">
        <f t="shared" si="3"/>
        <v>5.7200000000000001E-2</v>
      </c>
      <c r="J23" s="31">
        <f>' на весь срок'!J10</f>
        <v>5.7200000000000001E-2</v>
      </c>
      <c r="K23" s="31">
        <f>' на весь срок'!D10</f>
        <v>5.7799999999999997E-2</v>
      </c>
      <c r="L23" s="31">
        <f>' на весь срок'!T10</f>
        <v>4.8300000000000003E-2</v>
      </c>
      <c r="M23" s="31">
        <f>' на весь срок'!O12</f>
        <v>1.78E-2</v>
      </c>
      <c r="N23" s="31">
        <f>' на весь срок'!X10</f>
        <v>1.09E-2</v>
      </c>
      <c r="O23" s="66">
        <f t="shared" si="4"/>
        <v>3.3599999999999998E-2</v>
      </c>
      <c r="P23" s="31">
        <f>'льготный период'!I11</f>
        <v>3.3599999999999998E-2</v>
      </c>
      <c r="Q23" s="31">
        <f>'льготный период'!C11</f>
        <v>3.1199999999999999E-2</v>
      </c>
      <c r="R23" s="31">
        <f>'льготный период'!U11</f>
        <v>1.12E-2</v>
      </c>
      <c r="S23" s="31">
        <f>'льготный период'!O12</f>
        <v>3.0000000000000001E-3</v>
      </c>
      <c r="T23" s="31">
        <f>'льготный период'!AA11</f>
        <v>2.5000000000000001E-3</v>
      </c>
      <c r="U23" s="66">
        <f t="shared" si="0"/>
        <v>3.7199999999999997E-2</v>
      </c>
      <c r="V23" s="31">
        <f>'льготный период'!J11</f>
        <v>3.7199999999999997E-2</v>
      </c>
      <c r="W23" s="31">
        <f>'льготный период'!D11</f>
        <v>3.49E-2</v>
      </c>
      <c r="X23" s="31">
        <f>'льготный период'!V11</f>
        <v>2.1299999999999999E-2</v>
      </c>
      <c r="Y23" s="31">
        <f>'льготный период'!P12</f>
        <v>5.7999999999999996E-3</v>
      </c>
      <c r="Z23" s="31">
        <f>'льготный период'!AB11</f>
        <v>4.7999999999999996E-3</v>
      </c>
      <c r="AA23" s="66">
        <f t="shared" si="1"/>
        <v>4.6100000000000002E-2</v>
      </c>
      <c r="AB23" s="31">
        <f>'льготный период'!K11</f>
        <v>4.6100000000000002E-2</v>
      </c>
      <c r="AC23" s="67">
        <f t="shared" si="5"/>
        <v>5.7799999999999997E-2</v>
      </c>
      <c r="AD23" s="31">
        <f>'льготный период'!W11</f>
        <v>4.3099999999999999E-2</v>
      </c>
      <c r="AE23" s="31">
        <f>'льготный период'!Q12</f>
        <v>1.18E-2</v>
      </c>
      <c r="AF23" s="31">
        <f>'льготный период'!AC11</f>
        <v>9.7000000000000003E-3</v>
      </c>
    </row>
    <row r="24" spans="1:32" x14ac:dyDescent="0.25">
      <c r="A24" s="28">
        <f t="shared" si="6"/>
        <v>6</v>
      </c>
      <c r="B24" s="66">
        <f t="shared" si="7"/>
        <v>5.5E-2</v>
      </c>
      <c r="C24" s="66">
        <f t="shared" si="2"/>
        <v>5.0200000000000002E-2</v>
      </c>
      <c r="D24" s="31">
        <f>IF($A$12=$A$16,' на весь срок'!I11,'льготный период'!H12)</f>
        <v>5.5E-2</v>
      </c>
      <c r="E24" s="31">
        <f>IF($A$12=$A$16,' на весь срок'!C11,'льготный период'!B12)</f>
        <v>7.4999999999999997E-2</v>
      </c>
      <c r="F24" s="31">
        <f>' на весь срок'!S11</f>
        <v>0.16300000000000001</v>
      </c>
      <c r="G24" s="31">
        <f>' на весь срок'!N13</f>
        <v>0.161</v>
      </c>
      <c r="H24" s="31">
        <f>' на весь срок'!W11</f>
        <v>0.16699999999999998</v>
      </c>
      <c r="I24" s="66">
        <f t="shared" si="3"/>
        <v>6.3200000000000006E-2</v>
      </c>
      <c r="J24" s="31">
        <f>' на весь срок'!J11</f>
        <v>6.3200000000000006E-2</v>
      </c>
      <c r="K24" s="31">
        <f>' на весь срок'!D11</f>
        <v>6.4000000000000001E-2</v>
      </c>
      <c r="L24" s="31">
        <f>' на весь срок'!T11</f>
        <v>5.2600000000000001E-2</v>
      </c>
      <c r="M24" s="31">
        <f>' на весь срок'!O13</f>
        <v>2.1999999999999999E-2</v>
      </c>
      <c r="N24" s="31">
        <f>' на весь срок'!X11</f>
        <v>1.52E-2</v>
      </c>
      <c r="O24" s="66">
        <f t="shared" si="4"/>
        <v>3.4599999999999999E-2</v>
      </c>
      <c r="P24" s="31">
        <f>'льготный период'!I12</f>
        <v>3.4599999999999999E-2</v>
      </c>
      <c r="Q24" s="31">
        <f>'льготный период'!C12</f>
        <v>3.2199999999999999E-2</v>
      </c>
      <c r="R24" s="31">
        <f>'льготный период'!U12</f>
        <v>1.2200000000000001E-2</v>
      </c>
      <c r="S24" s="31">
        <f>'льготный период'!O13</f>
        <v>4.0000000000000001E-3</v>
      </c>
      <c r="T24" s="31">
        <f>'льготный период'!AA12</f>
        <v>3.5000000000000001E-3</v>
      </c>
      <c r="U24" s="66">
        <f t="shared" si="0"/>
        <v>3.9E-2</v>
      </c>
      <c r="V24" s="31">
        <f>'льготный период'!J12</f>
        <v>3.9E-2</v>
      </c>
      <c r="W24" s="31">
        <f>'льготный период'!D12</f>
        <v>3.6700000000000003E-2</v>
      </c>
      <c r="X24" s="31">
        <f>'льготный период'!V12</f>
        <v>2.3099999999999999E-2</v>
      </c>
      <c r="Y24" s="31">
        <f>'льготный период'!P13</f>
        <v>7.7000000000000002E-3</v>
      </c>
      <c r="Z24" s="31">
        <f>'льготный период'!AB12</f>
        <v>6.7000000000000002E-3</v>
      </c>
      <c r="AA24" s="66">
        <f t="shared" si="1"/>
        <v>5.0200000000000002E-2</v>
      </c>
      <c r="AB24" s="31">
        <f>'льготный период'!K12</f>
        <v>5.0200000000000002E-2</v>
      </c>
      <c r="AC24" s="67">
        <f t="shared" si="5"/>
        <v>6.4000000000000001E-2</v>
      </c>
      <c r="AD24" s="31">
        <f>'льготный период'!W12</f>
        <v>4.6899999999999997E-2</v>
      </c>
      <c r="AE24" s="31">
        <f>'льготный период'!Q13</f>
        <v>1.5599999999999999E-2</v>
      </c>
      <c r="AF24" s="31">
        <f>'льготный период'!AC12</f>
        <v>1.35E-2</v>
      </c>
    </row>
    <row r="25" spans="1:32" x14ac:dyDescent="0.25">
      <c r="A25" s="28">
        <f t="shared" si="6"/>
        <v>7</v>
      </c>
      <c r="B25" s="66">
        <f t="shared" si="7"/>
        <v>5.3999999999999999E-2</v>
      </c>
      <c r="C25" s="66">
        <f>IF($A$12=$I$19,I25,IF($A$12=$O$19,O25,IF($A$12=$U$19,U25,IF($A$12=$AA$19,AA25))))</f>
        <v>5.4199999999999998E-2</v>
      </c>
      <c r="D25" s="31">
        <f>IF($A$12=$A$16,' на весь срок'!I12,'льготный период'!H13)</f>
        <v>5.3999999999999999E-2</v>
      </c>
      <c r="E25" s="31">
        <f>IF($A$12=$A$16,' на весь срок'!C12,'льготный период'!B13)</f>
        <v>7.3999999999999996E-2</v>
      </c>
      <c r="F25" s="31">
        <f>' на весь срок'!S12</f>
        <v>0.16200000000000001</v>
      </c>
      <c r="G25" s="31">
        <f>' на весь срок'!N14</f>
        <v>0.16</v>
      </c>
      <c r="H25" s="31">
        <f>' на весь срок'!W12</f>
        <v>0.16599999999999998</v>
      </c>
      <c r="I25" s="66">
        <f t="shared" si="3"/>
        <v>6.9199999999999998E-2</v>
      </c>
      <c r="J25" s="31">
        <f>' на весь срок'!J12</f>
        <v>6.9199999999999998E-2</v>
      </c>
      <c r="K25" s="31">
        <f>' на весь срок'!D12</f>
        <v>7.0199999999999999E-2</v>
      </c>
      <c r="L25" s="31">
        <f>' на весь срок'!T12</f>
        <v>5.6800000000000003E-2</v>
      </c>
      <c r="M25" s="31">
        <f>' на весь срок'!O14</f>
        <v>2.63E-2</v>
      </c>
      <c r="N25" s="31">
        <f>' на весь срок'!X12</f>
        <v>1.95E-2</v>
      </c>
      <c r="O25" s="66">
        <f t="shared" si="4"/>
        <v>3.5499999999999997E-2</v>
      </c>
      <c r="P25" s="31">
        <f>'льготный период'!I13</f>
        <v>3.5499999999999997E-2</v>
      </c>
      <c r="Q25" s="31">
        <f>'льготный период'!C13</f>
        <v>3.3099999999999997E-2</v>
      </c>
      <c r="R25" s="31">
        <f>'льготный период'!U13</f>
        <v>1.3100000000000001E-2</v>
      </c>
      <c r="S25" s="31">
        <f>'льготный период'!O14</f>
        <v>5.0000000000000001E-3</v>
      </c>
      <c r="T25" s="31">
        <f>'льготный период'!AA13</f>
        <v>4.4999999999999997E-3</v>
      </c>
      <c r="U25" s="66">
        <f t="shared" si="0"/>
        <v>4.0899999999999999E-2</v>
      </c>
      <c r="V25" s="31">
        <f>'льготный период'!J13</f>
        <v>4.0899999999999999E-2</v>
      </c>
      <c r="W25" s="31">
        <f>'льготный период'!D13</f>
        <v>3.8600000000000002E-2</v>
      </c>
      <c r="X25" s="31">
        <f>'льготный период'!V13</f>
        <v>2.5000000000000001E-2</v>
      </c>
      <c r="Y25" s="31">
        <f>'льготный период'!P14</f>
        <v>9.4999999999999998E-3</v>
      </c>
      <c r="Z25" s="31">
        <f>'льготный период'!AB13</f>
        <v>8.5000000000000006E-3</v>
      </c>
      <c r="AA25" s="66">
        <f t="shared" si="1"/>
        <v>5.4199999999999998E-2</v>
      </c>
      <c r="AB25" s="31">
        <f>'льготный период'!K13</f>
        <v>5.4199999999999998E-2</v>
      </c>
      <c r="AC25" s="67">
        <f t="shared" si="5"/>
        <v>7.0199999999999999E-2</v>
      </c>
      <c r="AD25" s="31">
        <f>'льготный период'!W13</f>
        <v>5.0700000000000002E-2</v>
      </c>
      <c r="AE25" s="31">
        <f>'льготный период'!Q14</f>
        <v>1.9300000000000001E-2</v>
      </c>
      <c r="AF25" s="31">
        <f>'льготный период'!AC13</f>
        <v>1.7399999999999999E-2</v>
      </c>
    </row>
    <row r="26" spans="1:32" x14ac:dyDescent="0.25">
      <c r="A26" s="28">
        <f t="shared" si="6"/>
        <v>8</v>
      </c>
      <c r="B26" s="66">
        <f t="shared" si="7"/>
        <v>5.2999999999999999E-2</v>
      </c>
      <c r="C26" s="66">
        <f t="shared" si="2"/>
        <v>5.8299999999999998E-2</v>
      </c>
      <c r="D26" s="31">
        <f>IF($A$12=$A$16,' на весь срок'!I13,'льготный период'!H14)</f>
        <v>5.2999999999999999E-2</v>
      </c>
      <c r="E26" s="31">
        <f>IF($A$12=$A$16,' на весь срок'!C13,'льготный период'!B14)</f>
        <v>7.2999999999999995E-2</v>
      </c>
      <c r="F26" s="31">
        <f>' на весь срок'!S13</f>
        <v>0.161</v>
      </c>
      <c r="G26" s="31">
        <f>' на весь срок'!N15</f>
        <v>0.159</v>
      </c>
      <c r="H26" s="31">
        <f>' на весь срок'!W13</f>
        <v>0.16499999999999998</v>
      </c>
      <c r="I26" s="66">
        <f t="shared" si="3"/>
        <v>7.5200000000000003E-2</v>
      </c>
      <c r="J26" s="31">
        <f>' на весь срок'!J13</f>
        <v>7.5200000000000003E-2</v>
      </c>
      <c r="K26" s="31">
        <f>' на весь срок'!D13</f>
        <v>7.6399999999999996E-2</v>
      </c>
      <c r="L26" s="31">
        <f>' на весь срок'!T13</f>
        <v>6.0999999999999999E-2</v>
      </c>
      <c r="M26" s="31">
        <f>' на весь срок'!O15</f>
        <v>3.0499999999999999E-2</v>
      </c>
      <c r="N26" s="31">
        <f>' на весь срок'!X13</f>
        <v>2.3699999999999999E-2</v>
      </c>
      <c r="O26" s="66">
        <f t="shared" si="4"/>
        <v>3.6499999999999998E-2</v>
      </c>
      <c r="P26" s="31">
        <f>'льготный период'!I14</f>
        <v>3.6499999999999998E-2</v>
      </c>
      <c r="Q26" s="31">
        <f>'льготный период'!C14</f>
        <v>3.4099999999999998E-2</v>
      </c>
      <c r="R26" s="31">
        <f>'льготный период'!U14</f>
        <v>1.41E-2</v>
      </c>
      <c r="S26" s="31">
        <f>'льготный период'!O15</f>
        <v>6.0000000000000001E-3</v>
      </c>
      <c r="T26" s="31">
        <f>'льготный период'!AA14</f>
        <v>5.4999999999999997E-3</v>
      </c>
      <c r="U26" s="66">
        <f t="shared" si="0"/>
        <v>4.2799999999999998E-2</v>
      </c>
      <c r="V26" s="31">
        <f>'льготный период'!J14</f>
        <v>4.2799999999999998E-2</v>
      </c>
      <c r="W26" s="31">
        <f>'льготный период'!D14</f>
        <v>4.0500000000000001E-2</v>
      </c>
      <c r="X26" s="31">
        <f>'льготный период'!V14</f>
        <v>2.69E-2</v>
      </c>
      <c r="Y26" s="31">
        <f>'льготный период'!P15</f>
        <v>1.14E-2</v>
      </c>
      <c r="Z26" s="31">
        <f>'льготный период'!AB14</f>
        <v>1.04E-2</v>
      </c>
      <c r="AA26" s="66">
        <f t="shared" si="1"/>
        <v>5.8299999999999998E-2</v>
      </c>
      <c r="AB26" s="31">
        <f>'льготный период'!K14</f>
        <v>5.8299999999999998E-2</v>
      </c>
      <c r="AC26" s="67">
        <f t="shared" si="5"/>
        <v>7.6399999999999996E-2</v>
      </c>
      <c r="AD26" s="31">
        <f>'льготный период'!W14</f>
        <v>5.45E-2</v>
      </c>
      <c r="AE26" s="31">
        <f>'льготный период'!Q15</f>
        <v>2.3099999999999999E-2</v>
      </c>
      <c r="AF26" s="31">
        <f>'льготный период'!AC14</f>
        <v>2.12E-2</v>
      </c>
    </row>
    <row r="27" spans="1:32" x14ac:dyDescent="0.25">
      <c r="A27" s="28">
        <f t="shared" si="6"/>
        <v>9</v>
      </c>
      <c r="B27" s="66">
        <f t="shared" si="7"/>
        <v>5.1999999999999998E-2</v>
      </c>
      <c r="C27" s="66">
        <f t="shared" si="2"/>
        <v>6.2300000000000001E-2</v>
      </c>
      <c r="D27" s="31">
        <f>IF($A$12=$A$16,' на весь срок'!I14,'льготный период'!H15)</f>
        <v>5.1999999999999998E-2</v>
      </c>
      <c r="E27" s="31">
        <f>IF($A$12=$A$16,' на весь срок'!C14,'льготный период'!B15)</f>
        <v>7.2000000000000008E-2</v>
      </c>
      <c r="F27" s="31">
        <f>' на весь срок'!S14</f>
        <v>0.16</v>
      </c>
      <c r="G27" s="31">
        <f>' на весь срок'!N16</f>
        <v>0.158</v>
      </c>
      <c r="H27" s="31">
        <f>' на весь срок'!W14</f>
        <v>0.16399999999999998</v>
      </c>
      <c r="I27" s="66">
        <f t="shared" si="3"/>
        <v>8.1199999999999994E-2</v>
      </c>
      <c r="J27" s="31">
        <f>' на весь срок'!J14</f>
        <v>8.1199999999999994E-2</v>
      </c>
      <c r="K27" s="31">
        <f>' на весь срок'!D14</f>
        <v>8.2600000000000007E-2</v>
      </c>
      <c r="L27" s="31">
        <f>' на весь срок'!T14</f>
        <v>6.5299999999999997E-2</v>
      </c>
      <c r="M27" s="31">
        <f>' на весь срок'!O16</f>
        <v>3.4700000000000002E-2</v>
      </c>
      <c r="N27" s="31">
        <f>' на весь срок'!X14</f>
        <v>2.8000000000000001E-2</v>
      </c>
      <c r="O27" s="66">
        <f t="shared" si="4"/>
        <v>3.7499999999999999E-2</v>
      </c>
      <c r="P27" s="31">
        <f>'льготный период'!I15</f>
        <v>3.7499999999999999E-2</v>
      </c>
      <c r="Q27" s="31">
        <f>'льготный период'!C15</f>
        <v>3.5099999999999999E-2</v>
      </c>
      <c r="R27" s="31">
        <f>'льготный период'!U15</f>
        <v>1.5100000000000001E-2</v>
      </c>
      <c r="S27" s="31">
        <f>'льготный период'!O16</f>
        <v>7.0000000000000001E-3</v>
      </c>
      <c r="T27" s="31">
        <f>'льготный период'!AA15</f>
        <v>6.4999999999999997E-3</v>
      </c>
      <c r="U27" s="66">
        <f t="shared" si="0"/>
        <v>4.4600000000000001E-2</v>
      </c>
      <c r="V27" s="31">
        <f>'льготный период'!J15</f>
        <v>4.4600000000000001E-2</v>
      </c>
      <c r="W27" s="31">
        <f>'льготный период'!D15</f>
        <v>4.2299999999999997E-2</v>
      </c>
      <c r="X27" s="31">
        <f>'льготный период'!V15</f>
        <v>2.8799999999999999E-2</v>
      </c>
      <c r="Y27" s="31">
        <f>'льготный период'!P16</f>
        <v>1.3299999999999999E-2</v>
      </c>
      <c r="Z27" s="31">
        <f>'льготный период'!AB15</f>
        <v>1.23E-2</v>
      </c>
      <c r="AA27" s="66">
        <f t="shared" si="1"/>
        <v>6.2300000000000001E-2</v>
      </c>
      <c r="AB27" s="31">
        <f>'льготный период'!K15</f>
        <v>6.2300000000000001E-2</v>
      </c>
      <c r="AC27" s="67">
        <f t="shared" si="5"/>
        <v>8.2600000000000007E-2</v>
      </c>
      <c r="AD27" s="31">
        <f>'льготный период'!W15</f>
        <v>5.8299999999999998E-2</v>
      </c>
      <c r="AE27" s="31">
        <f>'льготный период'!Q16</f>
        <v>2.69E-2</v>
      </c>
      <c r="AF27" s="31">
        <f>'льготный период'!AC15</f>
        <v>2.5000000000000001E-2</v>
      </c>
    </row>
    <row r="28" spans="1:32" x14ac:dyDescent="0.25">
      <c r="A28" s="28">
        <f t="shared" si="6"/>
        <v>10</v>
      </c>
      <c r="B28" s="66">
        <f t="shared" si="7"/>
        <v>5.0999999999999997E-2</v>
      </c>
      <c r="C28" s="66">
        <f t="shared" si="2"/>
        <v>6.6400000000000001E-2</v>
      </c>
      <c r="D28" s="31">
        <f>IF($A$12=$A$16,' на весь срок'!I15,'льготный период'!H16)</f>
        <v>5.0999999999999997E-2</v>
      </c>
      <c r="E28" s="31">
        <f>IF($A$12=$A$16,' на весь срок'!C15,'льготный период'!B16)</f>
        <v>7.1000000000000008E-2</v>
      </c>
      <c r="F28" s="31">
        <f>' на весь срок'!S15</f>
        <v>0.159</v>
      </c>
      <c r="G28" s="31">
        <f>' на весь срок'!N17</f>
        <v>0.157</v>
      </c>
      <c r="H28" s="31">
        <f>' на весь срок'!W15</f>
        <v>0.16299999999999998</v>
      </c>
      <c r="I28" s="66">
        <f t="shared" si="3"/>
        <v>8.7099999999999997E-2</v>
      </c>
      <c r="J28" s="31">
        <f>' на весь срок'!J15</f>
        <v>8.7099999999999997E-2</v>
      </c>
      <c r="K28" s="31">
        <f>' на весь срок'!D15</f>
        <v>8.8800000000000004E-2</v>
      </c>
      <c r="L28" s="31">
        <f>' на весь срок'!T15</f>
        <v>6.9500000000000006E-2</v>
      </c>
      <c r="M28" s="31">
        <f>' на весь срок'!O17</f>
        <v>3.8899999999999997E-2</v>
      </c>
      <c r="N28" s="31">
        <f>' на весь срок'!X15</f>
        <v>3.2199999999999999E-2</v>
      </c>
      <c r="O28" s="66">
        <f t="shared" si="4"/>
        <v>3.8399999999999997E-2</v>
      </c>
      <c r="P28" s="31">
        <f>'льготный период'!I16</f>
        <v>3.8399999999999997E-2</v>
      </c>
      <c r="Q28" s="31">
        <f>'льготный период'!C16</f>
        <v>3.5999999999999997E-2</v>
      </c>
      <c r="R28" s="31">
        <f>'льготный период'!U16</f>
        <v>1.61E-2</v>
      </c>
      <c r="S28" s="31">
        <f>'льготный период'!O17</f>
        <v>7.9000000000000008E-3</v>
      </c>
      <c r="T28" s="31">
        <f>'льготный период'!AA16</f>
        <v>7.4000000000000003E-3</v>
      </c>
      <c r="U28" s="66">
        <f t="shared" si="0"/>
        <v>4.65E-2</v>
      </c>
      <c r="V28" s="31">
        <f>'льготный период'!J16</f>
        <v>4.65E-2</v>
      </c>
      <c r="W28" s="31">
        <f>'льготный период'!D16</f>
        <v>4.4200000000000003E-2</v>
      </c>
      <c r="X28" s="31">
        <f>'льготный период'!V16</f>
        <v>3.0700000000000002E-2</v>
      </c>
      <c r="Y28" s="31">
        <f>'льготный период'!P17</f>
        <v>1.5100000000000001E-2</v>
      </c>
      <c r="Z28" s="31">
        <f>'льготный период'!AB16</f>
        <v>1.4200000000000001E-2</v>
      </c>
      <c r="AA28" s="66">
        <f t="shared" si="1"/>
        <v>6.6400000000000001E-2</v>
      </c>
      <c r="AB28" s="31">
        <f>'льготный период'!K16</f>
        <v>6.6400000000000001E-2</v>
      </c>
      <c r="AC28" s="67">
        <f t="shared" si="5"/>
        <v>8.8800000000000004E-2</v>
      </c>
      <c r="AD28" s="31">
        <f>'льготный период'!W16</f>
        <v>6.2100000000000002E-2</v>
      </c>
      <c r="AE28" s="31">
        <f>'льготный период'!Q17</f>
        <v>3.0700000000000002E-2</v>
      </c>
      <c r="AF28" s="31">
        <f>'льготный период'!AC16</f>
        <v>2.8799999999999999E-2</v>
      </c>
    </row>
    <row r="29" spans="1:32" x14ac:dyDescent="0.25">
      <c r="A29" s="28">
        <f t="shared" si="6"/>
        <v>11</v>
      </c>
      <c r="B29" s="66">
        <f t="shared" si="7"/>
        <v>4.9999999999999996E-2</v>
      </c>
      <c r="C29" s="66">
        <f t="shared" si="2"/>
        <v>7.0400000000000004E-2</v>
      </c>
      <c r="D29" s="31">
        <f>IF($A$12=$A$16,' на весь срок'!I16,'льготный период'!H17)</f>
        <v>4.9999999999999996E-2</v>
      </c>
      <c r="E29" s="31">
        <f>IF($A$12=$A$16,' на весь срок'!C16,'льготный период'!B17)</f>
        <v>7.0000000000000007E-2</v>
      </c>
      <c r="F29" s="31">
        <f>' на весь срок'!S16</f>
        <v>0.158</v>
      </c>
      <c r="G29" s="31">
        <f>' на весь срок'!N18</f>
        <v>0.156</v>
      </c>
      <c r="H29" s="31">
        <f>' на весь срок'!W16</f>
        <v>0.16199999999999998</v>
      </c>
      <c r="I29" s="66">
        <f t="shared" si="3"/>
        <v>9.3100000000000002E-2</v>
      </c>
      <c r="J29" s="31">
        <f>' на весь срок'!J16</f>
        <v>9.3100000000000002E-2</v>
      </c>
      <c r="K29" s="31">
        <f>' на весь срок'!D16</f>
        <v>9.4899999999999998E-2</v>
      </c>
      <c r="L29" s="31">
        <f>' на весь срок'!T16</f>
        <v>7.3700000000000002E-2</v>
      </c>
      <c r="M29" s="31">
        <f>' на весь срок'!O18</f>
        <v>4.3099999999999999E-2</v>
      </c>
      <c r="N29" s="31">
        <f>' на весь срок'!X16</f>
        <v>3.6499999999999998E-2</v>
      </c>
      <c r="O29" s="66">
        <f t="shared" si="4"/>
        <v>3.9399999999999998E-2</v>
      </c>
      <c r="P29" s="31">
        <f>'льготный период'!I17</f>
        <v>3.9399999999999998E-2</v>
      </c>
      <c r="Q29" s="31">
        <f>'льготный период'!C17</f>
        <v>3.6999999999999998E-2</v>
      </c>
      <c r="R29" s="31">
        <f>'льготный период'!U17</f>
        <v>1.7100000000000001E-2</v>
      </c>
      <c r="S29" s="31">
        <f>'льготный период'!O18</f>
        <v>8.8999999999999999E-3</v>
      </c>
      <c r="T29" s="31">
        <f>'льготный период'!AA17</f>
        <v>8.3999999999999995E-3</v>
      </c>
      <c r="U29" s="66">
        <f t="shared" si="0"/>
        <v>4.8300000000000003E-2</v>
      </c>
      <c r="V29" s="31">
        <f>'льготный период'!J17</f>
        <v>4.8300000000000003E-2</v>
      </c>
      <c r="W29" s="31">
        <f>'льготный период'!D17</f>
        <v>4.6100000000000002E-2</v>
      </c>
      <c r="X29" s="31">
        <f>'льготный период'!V17</f>
        <v>3.2500000000000001E-2</v>
      </c>
      <c r="Y29" s="31">
        <f>'льготный период'!P18</f>
        <v>1.7000000000000001E-2</v>
      </c>
      <c r="Z29" s="31">
        <f>'льготный период'!AB17</f>
        <v>1.6E-2</v>
      </c>
      <c r="AA29" s="66">
        <f t="shared" si="1"/>
        <v>7.0400000000000004E-2</v>
      </c>
      <c r="AB29" s="31">
        <f>'льготный период'!K17</f>
        <v>7.0400000000000004E-2</v>
      </c>
      <c r="AC29" s="67">
        <f t="shared" si="5"/>
        <v>9.4899999999999998E-2</v>
      </c>
      <c r="AD29" s="31">
        <f>'льготный период'!W17</f>
        <v>6.59E-2</v>
      </c>
      <c r="AE29" s="31">
        <f>'льготный период'!Q18</f>
        <v>3.44E-2</v>
      </c>
      <c r="AF29" s="31">
        <f>'льготный период'!AC17</f>
        <v>3.2599999999999997E-2</v>
      </c>
    </row>
    <row r="30" spans="1:32" x14ac:dyDescent="0.25">
      <c r="A30" s="28">
        <f t="shared" si="6"/>
        <v>12</v>
      </c>
      <c r="B30" s="66">
        <f t="shared" si="7"/>
        <v>4.8999999999999995E-2</v>
      </c>
      <c r="C30" s="66">
        <f t="shared" si="2"/>
        <v>7.4399999999999994E-2</v>
      </c>
      <c r="D30" s="31">
        <f>IF($A$12=$A$16,' на весь срок'!I17,'льготный период'!H18)</f>
        <v>4.8999999999999995E-2</v>
      </c>
      <c r="E30" s="31">
        <f>IF($A$12=$A$16,' на весь срок'!C17,'льготный период'!B18)</f>
        <v>6.9000000000000006E-2</v>
      </c>
      <c r="F30" s="31">
        <f>' на весь срок'!S17</f>
        <v>0.157</v>
      </c>
      <c r="G30" s="31">
        <f>' на весь срок'!N19</f>
        <v>0.155</v>
      </c>
      <c r="H30" s="31">
        <f>' на весь срок'!W17</f>
        <v>0.16099999999999998</v>
      </c>
      <c r="I30" s="66">
        <f t="shared" si="3"/>
        <v>9.9000000000000005E-2</v>
      </c>
      <c r="J30" s="31">
        <f>' на весь срок'!J17</f>
        <v>9.9000000000000005E-2</v>
      </c>
      <c r="K30" s="31">
        <f>' на весь срок'!D17</f>
        <v>0.10100000000000001</v>
      </c>
      <c r="L30" s="31">
        <f>' на весь срок'!T17</f>
        <v>7.7899999999999997E-2</v>
      </c>
      <c r="M30" s="31">
        <f>' на весь срок'!O19</f>
        <v>4.7199999999999999E-2</v>
      </c>
      <c r="N30" s="31">
        <f>' на весь срок'!X17</f>
        <v>4.07E-2</v>
      </c>
      <c r="O30" s="66">
        <f t="shared" si="4"/>
        <v>4.0300000000000002E-2</v>
      </c>
      <c r="P30" s="31">
        <f>'льготный период'!I18</f>
        <v>4.0300000000000002E-2</v>
      </c>
      <c r="Q30" s="31">
        <f>'льготный период'!C18</f>
        <v>3.7999999999999999E-2</v>
      </c>
      <c r="R30" s="31">
        <f>'льготный период'!U18</f>
        <v>1.8100000000000002E-2</v>
      </c>
      <c r="S30" s="31">
        <f>'льготный период'!O19</f>
        <v>9.9000000000000008E-3</v>
      </c>
      <c r="T30" s="31">
        <f>'льготный период'!AA18</f>
        <v>9.4000000000000004E-3</v>
      </c>
      <c r="U30" s="66">
        <f t="shared" si="0"/>
        <v>5.0099999999999999E-2</v>
      </c>
      <c r="V30" s="31">
        <f>'льготный период'!J18</f>
        <v>5.0099999999999999E-2</v>
      </c>
      <c r="W30" s="31">
        <f>'льготный период'!D18</f>
        <v>4.7899999999999998E-2</v>
      </c>
      <c r="X30" s="31">
        <f>'льготный период'!V18</f>
        <v>3.44E-2</v>
      </c>
      <c r="Y30" s="31">
        <f>'льготный период'!P19</f>
        <v>1.8800000000000001E-2</v>
      </c>
      <c r="Z30" s="31">
        <f>'льготный период'!AB18</f>
        <v>1.7899999999999999E-2</v>
      </c>
      <c r="AA30" s="66">
        <f t="shared" si="1"/>
        <v>7.4399999999999994E-2</v>
      </c>
      <c r="AB30" s="31">
        <f>'льготный период'!K18</f>
        <v>7.4399999999999994E-2</v>
      </c>
      <c r="AC30" s="67">
        <f t="shared" si="5"/>
        <v>0.10100000000000001</v>
      </c>
      <c r="AD30" s="31">
        <f>'льготный период'!W18</f>
        <v>6.9599999999999995E-2</v>
      </c>
      <c r="AE30" s="31">
        <f>'льготный период'!Q19</f>
        <v>3.8199999999999998E-2</v>
      </c>
      <c r="AF30" s="31">
        <f>'льготный период'!AC18</f>
        <v>3.6299999999999999E-2</v>
      </c>
    </row>
    <row r="31" spans="1:32" x14ac:dyDescent="0.25">
      <c r="A31" s="28">
        <f t="shared" si="6"/>
        <v>13</v>
      </c>
      <c r="B31" s="66">
        <f t="shared" si="7"/>
        <v>4.7999999999999994E-2</v>
      </c>
      <c r="C31" s="66">
        <f t="shared" si="2"/>
        <v>7.85E-2</v>
      </c>
      <c r="D31" s="31">
        <f>IF($A$12=$A$16,' на весь срок'!I18,'льготный период'!H19)</f>
        <v>4.7999999999999994E-2</v>
      </c>
      <c r="E31" s="31">
        <f>IF($A$12=$A$16,' на весь срок'!C18,'льготный период'!B19)</f>
        <v>6.8000000000000005E-2</v>
      </c>
      <c r="F31" s="31">
        <f>' на весь срок'!S18</f>
        <v>0.156</v>
      </c>
      <c r="G31" s="31">
        <f>' на весь срок'!N20</f>
        <v>0.154</v>
      </c>
      <c r="H31" s="31">
        <f>' на весь срок'!W18</f>
        <v>0.15999999999999998</v>
      </c>
      <c r="I31" s="66">
        <f t="shared" si="3"/>
        <v>0.1017</v>
      </c>
      <c r="J31" s="31">
        <f>' на весь срок'!J18</f>
        <v>0.1017</v>
      </c>
      <c r="K31" s="31">
        <f>' на весь срок'!D18</f>
        <v>0.1021</v>
      </c>
      <c r="L31" s="31">
        <f>' на весь срок'!T18</f>
        <v>8.2100000000000006E-2</v>
      </c>
      <c r="M31" s="31">
        <f>' на весь срок'!O20</f>
        <v>5.1400000000000001E-2</v>
      </c>
      <c r="N31" s="31">
        <f>' на весь срок'!X18</f>
        <v>4.4900000000000002E-2</v>
      </c>
      <c r="O31" s="66">
        <f t="shared" si="4"/>
        <v>4.1300000000000003E-2</v>
      </c>
      <c r="P31" s="31">
        <f>'льготный период'!I19</f>
        <v>4.1300000000000003E-2</v>
      </c>
      <c r="Q31" s="31">
        <f>'льготный период'!C19</f>
        <v>3.8899999999999997E-2</v>
      </c>
      <c r="R31" s="31">
        <f>'льготный период'!U19</f>
        <v>1.9099999999999999E-2</v>
      </c>
      <c r="S31" s="31">
        <f>'льготный период'!O20</f>
        <v>1.09E-2</v>
      </c>
      <c r="T31" s="31">
        <f>'льготный период'!AA19</f>
        <v>1.04E-2</v>
      </c>
      <c r="U31" s="66">
        <f t="shared" si="0"/>
        <v>5.1999999999999998E-2</v>
      </c>
      <c r="V31" s="31">
        <f>'льготный период'!J19</f>
        <v>5.1999999999999998E-2</v>
      </c>
      <c r="W31" s="31">
        <f>'льготный период'!D19</f>
        <v>4.9799999999999997E-2</v>
      </c>
      <c r="X31" s="31">
        <f>'льготный период'!V19</f>
        <v>3.6299999999999999E-2</v>
      </c>
      <c r="Y31" s="31">
        <f>'льготный период'!P20</f>
        <v>2.07E-2</v>
      </c>
      <c r="Z31" s="31">
        <f>'льготный период'!AB19</f>
        <v>1.9800000000000002E-2</v>
      </c>
      <c r="AA31" s="66">
        <f t="shared" si="1"/>
        <v>7.85E-2</v>
      </c>
      <c r="AB31" s="31">
        <f>'льготный период'!K19</f>
        <v>7.85E-2</v>
      </c>
      <c r="AC31" s="67">
        <f t="shared" si="5"/>
        <v>0.1021</v>
      </c>
      <c r="AD31" s="31">
        <f>'льготный период'!W19</f>
        <v>7.3400000000000007E-2</v>
      </c>
      <c r="AE31" s="31">
        <f>'льготный период'!Q20</f>
        <v>4.19E-2</v>
      </c>
      <c r="AF31" s="31">
        <f>'льготный период'!AC19</f>
        <v>4.0099999999999997E-2</v>
      </c>
    </row>
    <row r="32" spans="1:32" x14ac:dyDescent="0.25">
      <c r="A32" s="28">
        <f t="shared" si="6"/>
        <v>14</v>
      </c>
      <c r="B32" s="66">
        <f t="shared" si="7"/>
        <v>4.6999999999999993E-2</v>
      </c>
      <c r="C32" s="66">
        <f t="shared" si="2"/>
        <v>8.2500000000000004E-2</v>
      </c>
      <c r="D32" s="31">
        <f>IF($A$12=$A$16,' на весь срок'!I19,'льготный период'!H20)</f>
        <v>4.6999999999999993E-2</v>
      </c>
      <c r="E32" s="31">
        <f>IF($A$12=$A$16,' на весь срок'!C19,'льготный период'!B20)</f>
        <v>6.7000000000000004E-2</v>
      </c>
      <c r="F32" s="31">
        <f>' на весь срок'!S19</f>
        <v>0.155</v>
      </c>
      <c r="G32" s="31">
        <f>' на весь срок'!N21</f>
        <v>0.153</v>
      </c>
      <c r="H32" s="31">
        <f>' на весь срок'!W19</f>
        <v>0.15899999999999997</v>
      </c>
      <c r="I32" s="66">
        <f t="shared" si="3"/>
        <v>0.1076</v>
      </c>
      <c r="J32" s="31">
        <f>' на весь срок'!J19</f>
        <v>0.1076</v>
      </c>
      <c r="K32" s="31">
        <f>' на весь срок'!D19</f>
        <v>0.1082</v>
      </c>
      <c r="L32" s="31">
        <f>' на весь срок'!T19</f>
        <v>8.6300000000000002E-2</v>
      </c>
      <c r="M32" s="31">
        <f>' на весь срок'!O21</f>
        <v>5.5599999999999997E-2</v>
      </c>
      <c r="N32" s="31">
        <f>' на весь срок'!X19</f>
        <v>4.9099999999999998E-2</v>
      </c>
      <c r="O32" s="66">
        <f t="shared" si="4"/>
        <v>4.2299999999999997E-2</v>
      </c>
      <c r="P32" s="31">
        <f>'льготный период'!I20</f>
        <v>4.2299999999999997E-2</v>
      </c>
      <c r="Q32" s="31">
        <f>'льготный период'!C20</f>
        <v>3.9899999999999998E-2</v>
      </c>
      <c r="R32" s="31">
        <f>'льготный период'!U20</f>
        <v>2.01E-2</v>
      </c>
      <c r="S32" s="31">
        <f>'льготный период'!O21</f>
        <v>1.1900000000000001E-2</v>
      </c>
      <c r="T32" s="31">
        <f>'льготный период'!AA20</f>
        <v>1.14E-2</v>
      </c>
      <c r="U32" s="66">
        <f t="shared" si="0"/>
        <v>5.3800000000000001E-2</v>
      </c>
      <c r="V32" s="31">
        <f>'льготный период'!J20</f>
        <v>5.3800000000000001E-2</v>
      </c>
      <c r="W32" s="31">
        <f>'льготный период'!D20</f>
        <v>5.1700000000000003E-2</v>
      </c>
      <c r="X32" s="31">
        <f>'льготный период'!V20</f>
        <v>3.8199999999999998E-2</v>
      </c>
      <c r="Y32" s="31">
        <f>'льготный период'!P21</f>
        <v>2.2599999999999999E-2</v>
      </c>
      <c r="Z32" s="31">
        <f>'льготный период'!AB20</f>
        <v>2.1700000000000001E-2</v>
      </c>
      <c r="AA32" s="66">
        <f t="shared" si="1"/>
        <v>8.2500000000000004E-2</v>
      </c>
      <c r="AB32" s="31">
        <f>'льготный период'!K20</f>
        <v>8.2500000000000004E-2</v>
      </c>
      <c r="AC32" s="67">
        <f t="shared" si="5"/>
        <v>0.1082</v>
      </c>
      <c r="AD32" s="31">
        <f>'льготный период'!W20</f>
        <v>7.7200000000000005E-2</v>
      </c>
      <c r="AE32" s="31">
        <f>'льготный период'!Q21</f>
        <v>4.5699999999999998E-2</v>
      </c>
      <c r="AF32" s="31">
        <f>'льготный период'!AC20</f>
        <v>4.3900000000000002E-2</v>
      </c>
    </row>
    <row r="33" spans="1:32" x14ac:dyDescent="0.25">
      <c r="A33" s="28">
        <f t="shared" si="6"/>
        <v>15</v>
      </c>
      <c r="B33" s="66">
        <f t="shared" si="7"/>
        <v>4.5999999999999992E-2</v>
      </c>
      <c r="C33" s="66">
        <f t="shared" si="2"/>
        <v>8.6499999999999994E-2</v>
      </c>
      <c r="D33" s="31">
        <f>IF($A$12=$A$16,' на весь срок'!I20,'льготный период'!H21)</f>
        <v>4.5999999999999992E-2</v>
      </c>
      <c r="E33" s="31">
        <f>IF($A$12=$A$16,' на весь срок'!C20,'льготный период'!B21)</f>
        <v>6.6000000000000003E-2</v>
      </c>
      <c r="F33" s="31">
        <f>' на весь срок'!S20</f>
        <v>0.154</v>
      </c>
      <c r="G33" s="31">
        <f>' на весь срок'!N22</f>
        <v>0.152</v>
      </c>
      <c r="H33" s="31">
        <f>' на весь срок'!W20</f>
        <v>0.15799999999999997</v>
      </c>
      <c r="I33" s="66">
        <f t="shared" si="3"/>
        <v>0.1134</v>
      </c>
      <c r="J33" s="31">
        <f>' на весь срок'!J20</f>
        <v>0.1134</v>
      </c>
      <c r="K33" s="31">
        <f>' на весь срок'!D20</f>
        <v>0.1143</v>
      </c>
      <c r="L33" s="31">
        <f>' на весь срок'!T20</f>
        <v>9.0499999999999997E-2</v>
      </c>
      <c r="M33" s="31">
        <f>' на весь срок'!O22</f>
        <v>5.9700000000000003E-2</v>
      </c>
      <c r="N33" s="31">
        <f>' на весь срок'!X20</f>
        <v>5.3400000000000003E-2</v>
      </c>
      <c r="O33" s="66">
        <f t="shared" si="4"/>
        <v>4.3200000000000002E-2</v>
      </c>
      <c r="P33" s="31">
        <f>'льготный период'!I21</f>
        <v>4.3200000000000002E-2</v>
      </c>
      <c r="Q33" s="31">
        <f>'льготный период'!C21</f>
        <v>4.0899999999999999E-2</v>
      </c>
      <c r="R33" s="31">
        <f>'льготный период'!U21</f>
        <v>2.1100000000000001E-2</v>
      </c>
      <c r="S33" s="31">
        <f>'льготный период'!O22</f>
        <v>1.2800000000000001E-2</v>
      </c>
      <c r="T33" s="31">
        <f>'льготный период'!AA21</f>
        <v>1.24E-2</v>
      </c>
      <c r="U33" s="66">
        <f t="shared" si="0"/>
        <v>5.57E-2</v>
      </c>
      <c r="V33" s="31">
        <f>'льготный период'!J21</f>
        <v>5.57E-2</v>
      </c>
      <c r="W33" s="31">
        <f>'льготный период'!D21</f>
        <v>5.3499999999999999E-2</v>
      </c>
      <c r="X33" s="31">
        <f>'льготный период'!V21</f>
        <v>4.0099999999999997E-2</v>
      </c>
      <c r="Y33" s="31">
        <f>'льготный период'!P22</f>
        <v>2.4400000000000002E-2</v>
      </c>
      <c r="Z33" s="31">
        <f>'льготный период'!AB21</f>
        <v>2.35E-2</v>
      </c>
      <c r="AA33" s="66">
        <f t="shared" si="1"/>
        <v>8.6499999999999994E-2</v>
      </c>
      <c r="AB33" s="31">
        <f>'льготный период'!K21</f>
        <v>8.6499999999999994E-2</v>
      </c>
      <c r="AC33" s="67">
        <f t="shared" si="5"/>
        <v>0.1143</v>
      </c>
      <c r="AD33" s="31">
        <f>'льготный период'!W21</f>
        <v>8.09E-2</v>
      </c>
      <c r="AE33" s="31">
        <f>'льготный период'!Q22</f>
        <v>4.9399999999999999E-2</v>
      </c>
      <c r="AF33" s="31">
        <f>'льготный период'!AC21</f>
        <v>4.7699999999999999E-2</v>
      </c>
    </row>
    <row r="34" spans="1:32" x14ac:dyDescent="0.25">
      <c r="A34" s="28">
        <f t="shared" si="6"/>
        <v>16</v>
      </c>
      <c r="B34" s="66">
        <f t="shared" si="7"/>
        <v>4.4999999999999991E-2</v>
      </c>
      <c r="C34" s="66">
        <f t="shared" si="2"/>
        <v>9.0399999999999994E-2</v>
      </c>
      <c r="D34" s="31">
        <f>IF($A$12=$A$16,' на весь срок'!I21,'льготный период'!H22)</f>
        <v>4.4999999999999991E-2</v>
      </c>
      <c r="E34" s="31">
        <f>IF($A$12=$A$16,' на весь срок'!C21,'льготный период'!B22)</f>
        <v>6.5000000000000002E-2</v>
      </c>
      <c r="F34" s="31">
        <f>' на весь срок'!S21</f>
        <v>0.153</v>
      </c>
      <c r="G34" s="31">
        <f>' на весь срок'!N23</f>
        <v>0.151</v>
      </c>
      <c r="H34" s="31">
        <f>' на весь срок'!W21</f>
        <v>0.15699999999999997</v>
      </c>
      <c r="I34" s="66">
        <f t="shared" si="3"/>
        <v>0.1192</v>
      </c>
      <c r="J34" s="31">
        <f>' на весь срок'!J21</f>
        <v>0.1192</v>
      </c>
      <c r="K34" s="31">
        <f>' на весь срок'!D21</f>
        <v>0.1203</v>
      </c>
      <c r="L34" s="31">
        <f>' на весь срок'!T21</f>
        <v>9.4600000000000004E-2</v>
      </c>
      <c r="M34" s="31">
        <f>' на весь срок'!O23</f>
        <v>6.3899999999999998E-2</v>
      </c>
      <c r="N34" s="31">
        <f>' на весь срок'!X21</f>
        <v>5.7599999999999998E-2</v>
      </c>
      <c r="O34" s="66">
        <f t="shared" si="4"/>
        <v>4.4200000000000003E-2</v>
      </c>
      <c r="P34" s="31">
        <f>'льготный период'!I22</f>
        <v>4.4200000000000003E-2</v>
      </c>
      <c r="Q34" s="31">
        <f>'льготный период'!C22</f>
        <v>4.1799999999999997E-2</v>
      </c>
      <c r="R34" s="31">
        <f>'льготный период'!U22</f>
        <v>2.2100000000000002E-2</v>
      </c>
      <c r="S34" s="31">
        <f>'льготный период'!O23</f>
        <v>1.38E-2</v>
      </c>
      <c r="T34" s="31">
        <f>'льготный период'!AA22</f>
        <v>1.34E-2</v>
      </c>
      <c r="U34" s="66">
        <f t="shared" si="0"/>
        <v>5.7500000000000002E-2</v>
      </c>
      <c r="V34" s="31">
        <f>'льготный период'!J22</f>
        <v>5.7500000000000002E-2</v>
      </c>
      <c r="W34" s="31">
        <f>'льготный период'!D22</f>
        <v>5.5399999999999998E-2</v>
      </c>
      <c r="X34" s="31">
        <f>'льготный период'!V22</f>
        <v>4.19E-2</v>
      </c>
      <c r="Y34" s="31">
        <f>'льготный период'!P23</f>
        <v>2.63E-2</v>
      </c>
      <c r="Z34" s="31">
        <f>'льготный период'!AB22</f>
        <v>2.5399999999999999E-2</v>
      </c>
      <c r="AA34" s="66">
        <f t="shared" si="1"/>
        <v>9.0399999999999994E-2</v>
      </c>
      <c r="AB34" s="31">
        <f>'льготный период'!K22</f>
        <v>9.0399999999999994E-2</v>
      </c>
      <c r="AC34" s="67">
        <f t="shared" si="5"/>
        <v>0.1203</v>
      </c>
      <c r="AD34" s="31">
        <f>'льготный период'!W22</f>
        <v>8.4699999999999998E-2</v>
      </c>
      <c r="AE34" s="31">
        <f>'льготный период'!Q23</f>
        <v>5.3100000000000001E-2</v>
      </c>
      <c r="AF34" s="31">
        <f>'льготный период'!AC22</f>
        <v>5.1400000000000001E-2</v>
      </c>
    </row>
    <row r="35" spans="1:32" x14ac:dyDescent="0.25">
      <c r="A35" s="28">
        <f t="shared" ref="A35:A56" si="8">A34+1</f>
        <v>17</v>
      </c>
      <c r="B35" s="66">
        <f t="shared" si="7"/>
        <v>4.3999999999999991E-2</v>
      </c>
      <c r="C35" s="66">
        <f t="shared" si="2"/>
        <v>9.4399999999999998E-2</v>
      </c>
      <c r="D35" s="31">
        <f>IF($A$12=$A$16,' на весь срок'!I22,'льготный период'!H23)</f>
        <v>4.3999999999999991E-2</v>
      </c>
      <c r="E35" s="31">
        <f>IF($A$12=$A$16,' на весь срок'!C22,'льготный период'!B23)</f>
        <v>6.4000000000000001E-2</v>
      </c>
      <c r="F35" s="31">
        <f>' на весь срок'!S22</f>
        <v>0.152</v>
      </c>
      <c r="G35" s="31">
        <f>' на весь срок'!N24</f>
        <v>0.15</v>
      </c>
      <c r="H35" s="31">
        <f>' на весь срок'!W22</f>
        <v>0.15599999999999997</v>
      </c>
      <c r="I35" s="66">
        <f t="shared" si="3"/>
        <v>0.125</v>
      </c>
      <c r="J35" s="31">
        <f>' на весь срок'!J22</f>
        <v>0.125</v>
      </c>
      <c r="K35" s="31">
        <f>' на весь срок'!D22</f>
        <v>0.1263</v>
      </c>
      <c r="L35" s="31">
        <f>' на весь срок'!T22</f>
        <v>9.8799999999999999E-2</v>
      </c>
      <c r="M35" s="31">
        <f>' на весь срок'!O24</f>
        <v>6.8000000000000005E-2</v>
      </c>
      <c r="N35" s="31">
        <f>' на весь срок'!X22</f>
        <v>6.1800000000000001E-2</v>
      </c>
      <c r="O35" s="66">
        <f t="shared" si="4"/>
        <v>4.5100000000000001E-2</v>
      </c>
      <c r="P35" s="31">
        <f>'льготный период'!I23</f>
        <v>4.5100000000000001E-2</v>
      </c>
      <c r="Q35" s="31">
        <f>'льготный период'!C23</f>
        <v>4.2799999999999998E-2</v>
      </c>
      <c r="R35" s="31">
        <f>'льготный период'!U23</f>
        <v>2.3099999999999999E-2</v>
      </c>
      <c r="S35" s="31">
        <f>'льготный период'!O24</f>
        <v>1.4800000000000001E-2</v>
      </c>
      <c r="T35" s="31">
        <f>'льготный период'!AA23</f>
        <v>1.43E-2</v>
      </c>
      <c r="U35" s="66">
        <f t="shared" si="0"/>
        <v>5.9299999999999999E-2</v>
      </c>
      <c r="V35" s="31">
        <f>'льготный период'!J23</f>
        <v>5.9299999999999999E-2</v>
      </c>
      <c r="W35" s="31">
        <f>'льготный период'!D23</f>
        <v>5.7200000000000001E-2</v>
      </c>
      <c r="X35" s="31">
        <f>'льготный период'!V23</f>
        <v>4.3799999999999999E-2</v>
      </c>
      <c r="Y35" s="31">
        <f>'льготный период'!P24</f>
        <v>2.81E-2</v>
      </c>
      <c r="Z35" s="31">
        <f>'льготный период'!AB23</f>
        <v>2.7300000000000001E-2</v>
      </c>
      <c r="AA35" s="66">
        <f t="shared" si="1"/>
        <v>9.4399999999999998E-2</v>
      </c>
      <c r="AB35" s="31">
        <f>'льготный период'!K23</f>
        <v>9.4399999999999998E-2</v>
      </c>
      <c r="AC35" s="67">
        <f t="shared" si="5"/>
        <v>0.1263</v>
      </c>
      <c r="AD35" s="31">
        <f>'льготный период'!W23</f>
        <v>8.8400000000000006E-2</v>
      </c>
      <c r="AE35" s="31">
        <f>'льготный период'!Q24</f>
        <v>5.6899999999999999E-2</v>
      </c>
      <c r="AF35" s="31">
        <f>'льготный период'!AC23</f>
        <v>5.5199999999999999E-2</v>
      </c>
    </row>
    <row r="36" spans="1:32" x14ac:dyDescent="0.25">
      <c r="A36" s="28">
        <f t="shared" si="8"/>
        <v>18</v>
      </c>
      <c r="B36" s="66">
        <f t="shared" si="7"/>
        <v>4.299999999999999E-2</v>
      </c>
      <c r="C36" s="66">
        <f t="shared" si="2"/>
        <v>9.8400000000000001E-2</v>
      </c>
      <c r="D36" s="31">
        <f>IF($A$12=$A$16,' на весь срок'!I23,'льготный период'!H24)</f>
        <v>4.299999999999999E-2</v>
      </c>
      <c r="E36" s="31">
        <f>IF($A$12=$A$16,' на весь срок'!C23,'льготный период'!B24)</f>
        <v>6.3E-2</v>
      </c>
      <c r="F36" s="31">
        <f>' на весь срок'!S23</f>
        <v>0.151</v>
      </c>
      <c r="G36" s="31">
        <f>' на весь срок'!N25</f>
        <v>0.14899999999999999</v>
      </c>
      <c r="H36" s="31">
        <f>' на весь срок'!W23</f>
        <v>0.15499999999999997</v>
      </c>
      <c r="I36" s="66">
        <f t="shared" si="3"/>
        <v>0.1308</v>
      </c>
      <c r="J36" s="31">
        <f>' на весь срок'!J23</f>
        <v>0.1308</v>
      </c>
      <c r="K36" s="31">
        <f>' на весь срок'!D23</f>
        <v>0.1323</v>
      </c>
      <c r="L36" s="31">
        <f>' на весь срок'!T23</f>
        <v>0.10290000000000001</v>
      </c>
      <c r="M36" s="31">
        <f>' на весь срок'!O25</f>
        <v>7.22E-2</v>
      </c>
      <c r="N36" s="31">
        <f>' на весь срок'!X23</f>
        <v>6.59E-2</v>
      </c>
      <c r="O36" s="66">
        <f t="shared" si="4"/>
        <v>4.6100000000000002E-2</v>
      </c>
      <c r="P36" s="31">
        <f>'льготный период'!I24</f>
        <v>4.6100000000000002E-2</v>
      </c>
      <c r="Q36" s="31">
        <f>'льготный период'!C24</f>
        <v>4.3799999999999999E-2</v>
      </c>
      <c r="R36" s="31">
        <f>'льготный период'!U24</f>
        <v>2.4E-2</v>
      </c>
      <c r="S36" s="31">
        <f>'льготный период'!O25</f>
        <v>1.5800000000000002E-2</v>
      </c>
      <c r="T36" s="31">
        <f>'льготный период'!AA24</f>
        <v>1.5299999999999999E-2</v>
      </c>
      <c r="U36" s="66">
        <f t="shared" si="0"/>
        <v>6.1199999999999997E-2</v>
      </c>
      <c r="V36" s="31">
        <f>'льготный период'!J24</f>
        <v>6.1199999999999997E-2</v>
      </c>
      <c r="W36" s="31">
        <f>'льготный период'!D24</f>
        <v>5.91E-2</v>
      </c>
      <c r="X36" s="31">
        <f>'льготный период'!V24</f>
        <v>4.5699999999999998E-2</v>
      </c>
      <c r="Y36" s="31">
        <f>'льготный период'!P25</f>
        <v>0.03</v>
      </c>
      <c r="Z36" s="31">
        <f>'льготный период'!AB24</f>
        <v>2.9100000000000001E-2</v>
      </c>
      <c r="AA36" s="66">
        <f t="shared" si="1"/>
        <v>9.8400000000000001E-2</v>
      </c>
      <c r="AB36" s="31">
        <f>'льготный период'!K24</f>
        <v>9.8400000000000001E-2</v>
      </c>
      <c r="AC36" s="67">
        <f t="shared" si="5"/>
        <v>0.1323</v>
      </c>
      <c r="AD36" s="31">
        <f>'льготный период'!W24</f>
        <v>9.2100000000000001E-2</v>
      </c>
      <c r="AE36" s="31">
        <f>'льготный период'!Q25</f>
        <v>6.0600000000000001E-2</v>
      </c>
      <c r="AF36" s="31">
        <f>'льготный период'!AC24</f>
        <v>5.8999999999999997E-2</v>
      </c>
    </row>
    <row r="37" spans="1:32" x14ac:dyDescent="0.25">
      <c r="A37" s="28">
        <f t="shared" si="8"/>
        <v>19</v>
      </c>
      <c r="B37" s="66">
        <f t="shared" si="7"/>
        <v>4.1999999999999989E-2</v>
      </c>
      <c r="C37" s="66">
        <f t="shared" si="2"/>
        <v>0.1024</v>
      </c>
      <c r="D37" s="31">
        <f>IF($A$12=$A$16,' на весь срок'!I24,'льготный период'!H25)</f>
        <v>4.1999999999999989E-2</v>
      </c>
      <c r="E37" s="31">
        <f>IF($A$12=$A$16,' на весь срок'!C24,'льготный период'!B25)</f>
        <v>6.1999999999999993E-2</v>
      </c>
      <c r="F37" s="31">
        <f>' на весь срок'!S24</f>
        <v>0.15</v>
      </c>
      <c r="G37" s="31">
        <f>' на весь срок'!N26</f>
        <v>0.14799999999999999</v>
      </c>
      <c r="H37" s="31">
        <f>' на весь срок'!W24</f>
        <v>0.15399999999999997</v>
      </c>
      <c r="I37" s="66">
        <f t="shared" si="3"/>
        <v>0.1366</v>
      </c>
      <c r="J37" s="31">
        <f>' на весь срок'!J24</f>
        <v>0.1366</v>
      </c>
      <c r="K37" s="31">
        <f>' на весь срок'!D24</f>
        <v>0.13830000000000001</v>
      </c>
      <c r="L37" s="31">
        <f>' на весь срок'!T24</f>
        <v>0.1071</v>
      </c>
      <c r="M37" s="31">
        <f>' на весь срок'!O26</f>
        <v>7.6300000000000007E-2</v>
      </c>
      <c r="N37" s="31">
        <f>' на весь срок'!X24</f>
        <v>7.0099999999999996E-2</v>
      </c>
      <c r="O37" s="66">
        <f t="shared" si="4"/>
        <v>4.7100000000000003E-2</v>
      </c>
      <c r="P37" s="31">
        <f>'льготный период'!I25</f>
        <v>4.7100000000000003E-2</v>
      </c>
      <c r="Q37" s="31">
        <f>'льготный период'!C25</f>
        <v>4.4699999999999997E-2</v>
      </c>
      <c r="R37" s="31">
        <f>'льготный период'!U25</f>
        <v>2.5000000000000001E-2</v>
      </c>
      <c r="S37" s="31">
        <f>'льготный период'!O26</f>
        <v>1.6799999999999999E-2</v>
      </c>
      <c r="T37" s="31">
        <f>'льготный период'!AA25</f>
        <v>1.6299999999999999E-2</v>
      </c>
      <c r="U37" s="66">
        <f t="shared" si="0"/>
        <v>6.3E-2</v>
      </c>
      <c r="V37" s="31">
        <f>'льготный период'!J25</f>
        <v>6.3E-2</v>
      </c>
      <c r="W37" s="31">
        <f>'льготный период'!D25</f>
        <v>6.0999999999999999E-2</v>
      </c>
      <c r="X37" s="31">
        <f>'льготный период'!V25</f>
        <v>4.7500000000000001E-2</v>
      </c>
      <c r="Y37" s="31">
        <f>'льготный период'!P26</f>
        <v>3.1800000000000002E-2</v>
      </c>
      <c r="Z37" s="31">
        <f>'льготный период'!AB25</f>
        <v>3.1E-2</v>
      </c>
      <c r="AA37" s="66">
        <f t="shared" si="1"/>
        <v>0.1024</v>
      </c>
      <c r="AB37" s="31">
        <f>'льготный период'!K25</f>
        <v>0.1024</v>
      </c>
      <c r="AC37" s="67">
        <f t="shared" si="5"/>
        <v>0.13830000000000001</v>
      </c>
      <c r="AD37" s="31">
        <f>'льготный период'!W25</f>
        <v>9.5899999999999999E-2</v>
      </c>
      <c r="AE37" s="31">
        <f>'льготный период'!Q26</f>
        <v>6.4299999999999996E-2</v>
      </c>
      <c r="AF37" s="31">
        <f>'льготный период'!AC25</f>
        <v>6.2700000000000006E-2</v>
      </c>
    </row>
    <row r="38" spans="1:32" x14ac:dyDescent="0.25">
      <c r="A38" s="28">
        <f t="shared" si="8"/>
        <v>20</v>
      </c>
      <c r="B38" s="66">
        <f t="shared" si="7"/>
        <v>4.0999999999999988E-2</v>
      </c>
      <c r="C38" s="66">
        <f t="shared" si="2"/>
        <v>0.10630000000000001</v>
      </c>
      <c r="D38" s="31">
        <f>IF($A$12=$A$16,' на весь срок'!I25,'льготный период'!H26)</f>
        <v>4.0999999999999988E-2</v>
      </c>
      <c r="E38" s="31">
        <f>IF($A$12=$A$16,' на весь срок'!C25,'льготный период'!B26)</f>
        <v>6.0999999999999992E-2</v>
      </c>
      <c r="F38" s="31">
        <f>' на весь срок'!S25</f>
        <v>0.14899999999999999</v>
      </c>
      <c r="G38" s="31">
        <f>' на весь срок'!N27</f>
        <v>0.14699999999999999</v>
      </c>
      <c r="H38" s="31">
        <f>' на весь срок'!W25</f>
        <v>0.15299999999999997</v>
      </c>
      <c r="I38" s="66">
        <f t="shared" si="3"/>
        <v>0.14230000000000001</v>
      </c>
      <c r="J38" s="31">
        <f>' на весь срок'!J25</f>
        <v>0.14230000000000001</v>
      </c>
      <c r="K38" s="31">
        <f>' на весь срок'!D25</f>
        <v>0.14430000000000001</v>
      </c>
      <c r="L38" s="31">
        <f>' на весь срок'!T25</f>
        <v>0.11119999999999999</v>
      </c>
      <c r="M38" s="31">
        <f>' на весь срок'!O27</f>
        <v>8.0399999999999999E-2</v>
      </c>
      <c r="N38" s="31">
        <f>' на весь срок'!X25</f>
        <v>7.4300000000000005E-2</v>
      </c>
      <c r="O38" s="66">
        <f t="shared" si="4"/>
        <v>4.8000000000000001E-2</v>
      </c>
      <c r="P38" s="31">
        <f>'льготный период'!I26</f>
        <v>4.8000000000000001E-2</v>
      </c>
      <c r="Q38" s="31">
        <f>'льготный период'!C26</f>
        <v>4.5699999999999998E-2</v>
      </c>
      <c r="R38" s="31">
        <f>'льготный период'!U26</f>
        <v>2.5999999999999999E-2</v>
      </c>
      <c r="S38" s="31">
        <f>'льготный период'!O27</f>
        <v>1.77E-2</v>
      </c>
      <c r="T38" s="31">
        <f>'льготный период'!AA26</f>
        <v>1.7299999999999999E-2</v>
      </c>
      <c r="U38" s="66">
        <f t="shared" si="0"/>
        <v>6.4799999999999996E-2</v>
      </c>
      <c r="V38" s="31">
        <f>'льготный период'!J26</f>
        <v>6.4799999999999996E-2</v>
      </c>
      <c r="W38" s="31">
        <f>'льготный период'!D26</f>
        <v>6.2799999999999995E-2</v>
      </c>
      <c r="X38" s="31">
        <f>'льготный период'!V26</f>
        <v>4.9399999999999999E-2</v>
      </c>
      <c r="Y38" s="31">
        <f>'льготный период'!P27</f>
        <v>3.3700000000000001E-2</v>
      </c>
      <c r="Z38" s="31">
        <f>'льготный период'!AB26</f>
        <v>3.2899999999999999E-2</v>
      </c>
      <c r="AA38" s="66">
        <f t="shared" si="1"/>
        <v>0.10630000000000001</v>
      </c>
      <c r="AB38" s="31">
        <f>'льготный период'!K26</f>
        <v>0.10630000000000001</v>
      </c>
      <c r="AC38" s="67">
        <f t="shared" si="5"/>
        <v>0.14430000000000001</v>
      </c>
      <c r="AD38" s="31">
        <f>'льготный период'!W26</f>
        <v>9.9599999999999994E-2</v>
      </c>
      <c r="AE38" s="31">
        <f>'льготный период'!Q27</f>
        <v>6.8000000000000005E-2</v>
      </c>
      <c r="AF38" s="31">
        <f>'льготный период'!AC26</f>
        <v>6.6400000000000001E-2</v>
      </c>
    </row>
    <row r="39" spans="1:32" x14ac:dyDescent="0.25">
      <c r="A39" s="28">
        <f t="shared" si="8"/>
        <v>21</v>
      </c>
      <c r="B39" s="66">
        <f t="shared" si="7"/>
        <v>3.9999999999999987E-2</v>
      </c>
      <c r="C39" s="66">
        <f t="shared" si="2"/>
        <v>0.1103</v>
      </c>
      <c r="D39" s="31">
        <f>IF($A$12=$A$16,' на весь срок'!I26,'льготный период'!H27)</f>
        <v>3.9999999999999987E-2</v>
      </c>
      <c r="E39" s="31">
        <f>IF($A$12=$A$16,' на весь срок'!C26,'льготный период'!B27)</f>
        <v>5.9999999999999991E-2</v>
      </c>
      <c r="F39" s="31">
        <f>' на весь срок'!S26</f>
        <v>0.14799999999999999</v>
      </c>
      <c r="G39" s="31">
        <f>' на весь срок'!N28</f>
        <v>0.14599999999999999</v>
      </c>
      <c r="H39" s="31">
        <f>' на весь срок'!W26</f>
        <v>0.15199999999999997</v>
      </c>
      <c r="I39" s="66">
        <f t="shared" si="3"/>
        <v>0.14810000000000001</v>
      </c>
      <c r="J39" s="31">
        <f>' на весь срок'!J26</f>
        <v>0.14810000000000001</v>
      </c>
      <c r="K39" s="31">
        <f>' на весь срок'!D26</f>
        <v>0.1502</v>
      </c>
      <c r="L39" s="31">
        <f>' на весь срок'!T26</f>
        <v>0.1154</v>
      </c>
      <c r="M39" s="31">
        <f>' на весь срок'!O28</f>
        <v>8.4500000000000006E-2</v>
      </c>
      <c r="N39" s="31">
        <f>' на весь срок'!X26</f>
        <v>7.85E-2</v>
      </c>
      <c r="O39" s="66">
        <f t="shared" si="4"/>
        <v>4.9000000000000002E-2</v>
      </c>
      <c r="P39" s="31">
        <f>'льготный период'!I27</f>
        <v>4.9000000000000002E-2</v>
      </c>
      <c r="Q39" s="31">
        <f>'льготный период'!C27</f>
        <v>4.6699999999999998E-2</v>
      </c>
      <c r="R39" s="31">
        <f>'льготный период'!U27</f>
        <v>2.7E-2</v>
      </c>
      <c r="S39" s="31">
        <f>'льготный период'!O28</f>
        <v>1.8700000000000001E-2</v>
      </c>
      <c r="T39" s="31">
        <f>'льготный период'!AA27</f>
        <v>1.83E-2</v>
      </c>
      <c r="U39" s="66">
        <f t="shared" si="0"/>
        <v>6.6699999999999995E-2</v>
      </c>
      <c r="V39" s="31">
        <f>'льготный период'!J27</f>
        <v>6.6699999999999995E-2</v>
      </c>
      <c r="W39" s="31">
        <f>'льготный период'!D27</f>
        <v>6.4699999999999994E-2</v>
      </c>
      <c r="X39" s="31">
        <f>'льготный период'!V27</f>
        <v>5.1299999999999998E-2</v>
      </c>
      <c r="Y39" s="31">
        <f>'льготный период'!P28</f>
        <v>3.5499999999999997E-2</v>
      </c>
      <c r="Z39" s="31">
        <f>'льготный период'!AB27</f>
        <v>3.4700000000000002E-2</v>
      </c>
      <c r="AA39" s="66">
        <f t="shared" si="1"/>
        <v>0.1103</v>
      </c>
      <c r="AB39" s="31">
        <f>'льготный период'!K27</f>
        <v>0.1103</v>
      </c>
      <c r="AC39" s="67">
        <f t="shared" si="5"/>
        <v>0.1502</v>
      </c>
      <c r="AD39" s="31">
        <f>'льготный период'!W27</f>
        <v>0.1033</v>
      </c>
      <c r="AE39" s="31">
        <f>'льготный период'!Q28</f>
        <v>7.17E-2</v>
      </c>
      <c r="AF39" s="31">
        <f>'льготный период'!AC27</f>
        <v>7.0199999999999999E-2</v>
      </c>
    </row>
    <row r="40" spans="1:32" x14ac:dyDescent="0.25">
      <c r="A40" s="28">
        <f t="shared" si="8"/>
        <v>22</v>
      </c>
      <c r="B40" s="66">
        <f t="shared" si="7"/>
        <v>3.8999999999999986E-2</v>
      </c>
      <c r="C40" s="66">
        <f t="shared" si="2"/>
        <v>0.1142</v>
      </c>
      <c r="D40" s="31">
        <f>IF($A$12=$A$16,' на весь срок'!I27,'льготный период'!H28)</f>
        <v>3.8999999999999986E-2</v>
      </c>
      <c r="E40" s="31">
        <f>IF($A$12=$A$16,' на весь срок'!C27,'льготный период'!B28)</f>
        <v>5.899999999999999E-2</v>
      </c>
      <c r="F40" s="31">
        <f>' на весь срок'!S27</f>
        <v>0.14699999999999999</v>
      </c>
      <c r="G40" s="31">
        <f>' на весь срок'!N29</f>
        <v>0.14499999999999999</v>
      </c>
      <c r="H40" s="31">
        <f>' на весь срок'!W27</f>
        <v>0.15099999999999997</v>
      </c>
      <c r="I40" s="66">
        <f t="shared" si="3"/>
        <v>0.1678</v>
      </c>
      <c r="J40" s="31">
        <f>' на весь срок'!J27</f>
        <v>0.1678</v>
      </c>
      <c r="K40" s="31">
        <f>' на весь срок'!D27</f>
        <v>0.15609999999999999</v>
      </c>
      <c r="L40" s="31">
        <f>' на весь срок'!T27</f>
        <v>0.1195</v>
      </c>
      <c r="M40" s="31">
        <f>' на весь срок'!O29</f>
        <v>8.8599999999999998E-2</v>
      </c>
      <c r="N40" s="31">
        <f>' на весь срок'!X27</f>
        <v>8.2600000000000007E-2</v>
      </c>
      <c r="O40" s="66">
        <f t="shared" si="4"/>
        <v>4.99E-2</v>
      </c>
      <c r="P40" s="31">
        <f>'льготный период'!I28</f>
        <v>4.99E-2</v>
      </c>
      <c r="Q40" s="31">
        <f>'льготный период'!C28</f>
        <v>4.7600000000000003E-2</v>
      </c>
      <c r="R40" s="31">
        <f>'льготный период'!U28</f>
        <v>2.8000000000000001E-2</v>
      </c>
      <c r="S40" s="31">
        <f>'льготный период'!O29</f>
        <v>1.9699999999999999E-2</v>
      </c>
      <c r="T40" s="31">
        <f>'льготный период'!AA28</f>
        <v>1.9300000000000001E-2</v>
      </c>
      <c r="U40" s="66">
        <f t="shared" si="0"/>
        <v>6.8500000000000005E-2</v>
      </c>
      <c r="V40" s="31">
        <f>'льготный период'!J28</f>
        <v>6.8500000000000005E-2</v>
      </c>
      <c r="W40" s="31">
        <f>'льготный период'!D28</f>
        <v>6.6500000000000004E-2</v>
      </c>
      <c r="X40" s="31">
        <f>'льготный период'!V28</f>
        <v>5.3100000000000001E-2</v>
      </c>
      <c r="Y40" s="31">
        <f>'льготный период'!P29</f>
        <v>3.7400000000000003E-2</v>
      </c>
      <c r="Z40" s="31">
        <f>'льготный период'!AB28</f>
        <v>3.6600000000000001E-2</v>
      </c>
      <c r="AA40" s="66">
        <f t="shared" si="1"/>
        <v>0.1142</v>
      </c>
      <c r="AB40" s="31">
        <f>'льготный период'!K28</f>
        <v>0.1142</v>
      </c>
      <c r="AC40" s="67">
        <f t="shared" si="5"/>
        <v>0.15609999999999999</v>
      </c>
      <c r="AD40" s="31">
        <f>'льготный период'!W28</f>
        <v>0.107</v>
      </c>
      <c r="AE40" s="31">
        <f>'льготный период'!Q29</f>
        <v>7.5399999999999995E-2</v>
      </c>
      <c r="AF40" s="31">
        <f>'льготный период'!AC28</f>
        <v>7.3899999999999993E-2</v>
      </c>
    </row>
    <row r="41" spans="1:32" x14ac:dyDescent="0.25">
      <c r="A41" s="28">
        <f t="shared" si="8"/>
        <v>23</v>
      </c>
      <c r="B41" s="66">
        <f t="shared" si="7"/>
        <v>3.7999999999999985E-2</v>
      </c>
      <c r="C41" s="66">
        <f t="shared" si="2"/>
        <v>0.1182</v>
      </c>
      <c r="D41" s="31">
        <f>IF($A$12=$A$16,' на весь срок'!I28,'льготный период'!H29)</f>
        <v>3.7999999999999985E-2</v>
      </c>
      <c r="E41" s="31">
        <f>IF($A$12=$A$16,' на весь срок'!C28,'льготный период'!B29)</f>
        <v>5.7999999999999989E-2</v>
      </c>
      <c r="F41" s="31">
        <f>' на весь срок'!S28</f>
        <v>0.14599999999999999</v>
      </c>
      <c r="G41" s="31">
        <f>' на весь срок'!N30</f>
        <v>0.14399999999999999</v>
      </c>
      <c r="H41" s="31">
        <f>' на весь срок'!W28</f>
        <v>0.14999999999999997</v>
      </c>
      <c r="I41" s="66">
        <f t="shared" si="3"/>
        <v>0.17399999999999999</v>
      </c>
      <c r="J41" s="31">
        <f>' на весь срок'!J28</f>
        <v>0.17399999999999999</v>
      </c>
      <c r="K41" s="31">
        <f>' на весь срок'!D28</f>
        <v>0.16200000000000001</v>
      </c>
      <c r="L41" s="31">
        <f>' на весь срок'!T28</f>
        <v>0.1236</v>
      </c>
      <c r="M41" s="31">
        <f>' на весь срок'!O30</f>
        <v>9.2700000000000005E-2</v>
      </c>
      <c r="N41" s="31">
        <f>' на весь срок'!X28</f>
        <v>8.6800000000000002E-2</v>
      </c>
      <c r="O41" s="66">
        <f t="shared" si="4"/>
        <v>5.0900000000000001E-2</v>
      </c>
      <c r="P41" s="31">
        <f>'льготный период'!I29</f>
        <v>5.0900000000000001E-2</v>
      </c>
      <c r="Q41" s="31">
        <f>'льготный период'!C29</f>
        <v>4.8599999999999997E-2</v>
      </c>
      <c r="R41" s="31">
        <f>'льготный период'!U29</f>
        <v>2.9000000000000001E-2</v>
      </c>
      <c r="S41" s="31">
        <f>'льготный период'!O30</f>
        <v>2.07E-2</v>
      </c>
      <c r="T41" s="31">
        <f>'льготный период'!AA29</f>
        <v>2.0199999999999999E-2</v>
      </c>
      <c r="U41" s="66">
        <f t="shared" si="0"/>
        <v>7.0300000000000001E-2</v>
      </c>
      <c r="V41" s="31">
        <f>'льготный период'!J29</f>
        <v>7.0300000000000001E-2</v>
      </c>
      <c r="W41" s="31">
        <f>'льготный период'!D29</f>
        <v>6.8400000000000002E-2</v>
      </c>
      <c r="X41" s="31">
        <f>'льготный период'!V29</f>
        <v>5.5E-2</v>
      </c>
      <c r="Y41" s="31">
        <f>'льготный период'!P30</f>
        <v>3.9199999999999999E-2</v>
      </c>
      <c r="Z41" s="31">
        <f>'льготный период'!AB29</f>
        <v>3.85E-2</v>
      </c>
      <c r="AA41" s="66">
        <f t="shared" si="1"/>
        <v>0.1182</v>
      </c>
      <c r="AB41" s="31">
        <f>'льготный период'!K29</f>
        <v>0.1182</v>
      </c>
      <c r="AC41" s="67">
        <f t="shared" si="5"/>
        <v>0.16200000000000001</v>
      </c>
      <c r="AD41" s="31">
        <f>'льготный период'!W29</f>
        <v>0.11070000000000001</v>
      </c>
      <c r="AE41" s="31">
        <f>'льготный период'!Q30</f>
        <v>7.9100000000000004E-2</v>
      </c>
      <c r="AF41" s="31">
        <f>'льготный период'!AC29</f>
        <v>7.7600000000000002E-2</v>
      </c>
    </row>
    <row r="42" spans="1:32" x14ac:dyDescent="0.25">
      <c r="A42" s="28">
        <f t="shared" si="8"/>
        <v>24</v>
      </c>
      <c r="B42" s="66">
        <f t="shared" si="7"/>
        <v>3.6999999999999984E-2</v>
      </c>
      <c r="C42" s="66">
        <f t="shared" si="2"/>
        <v>0.1221</v>
      </c>
      <c r="D42" s="31">
        <f>IF($A$12=$A$16,' на весь срок'!I29,'льготный период'!H30)</f>
        <v>3.6999999999999984E-2</v>
      </c>
      <c r="E42" s="31">
        <f>IF($A$12=$A$16,' на весь срок'!C29,'льготный период'!B30)</f>
        <v>5.6999999999999988E-2</v>
      </c>
      <c r="F42" s="31">
        <f>' на весь срок'!S29</f>
        <v>0.14499999999999999</v>
      </c>
      <c r="G42" s="31">
        <f>' на весь срок'!N31</f>
        <v>0.14299999999999999</v>
      </c>
      <c r="H42" s="31">
        <f>' на весь срок'!W29</f>
        <v>0.14899999999999997</v>
      </c>
      <c r="I42" s="66">
        <f t="shared" si="3"/>
        <v>0.1802</v>
      </c>
      <c r="J42" s="31">
        <f>' на весь срок'!J29</f>
        <v>0.1802</v>
      </c>
      <c r="K42" s="31">
        <f>' на весь срок'!D29</f>
        <v>0.16789999999999999</v>
      </c>
      <c r="L42" s="31">
        <f>' на весь срок'!T29</f>
        <v>0.12770000000000001</v>
      </c>
      <c r="M42" s="31">
        <f>' на весь срок'!O31</f>
        <v>9.6799999999999997E-2</v>
      </c>
      <c r="N42" s="31">
        <f>' на весь срок'!X29</f>
        <v>9.0899999999999995E-2</v>
      </c>
      <c r="O42" s="66">
        <f t="shared" si="4"/>
        <v>5.1799999999999999E-2</v>
      </c>
      <c r="P42" s="31">
        <f>'льготный период'!I30</f>
        <v>5.1799999999999999E-2</v>
      </c>
      <c r="Q42" s="31">
        <f>'льготный период'!C30</f>
        <v>4.9500000000000002E-2</v>
      </c>
      <c r="R42" s="31">
        <f>'льготный период'!U30</f>
        <v>0.03</v>
      </c>
      <c r="S42" s="31">
        <f>'льготный период'!O31</f>
        <v>2.1600000000000001E-2</v>
      </c>
      <c r="T42" s="31">
        <f>'льготный период'!AA30</f>
        <v>2.12E-2</v>
      </c>
      <c r="U42" s="66">
        <f t="shared" si="0"/>
        <v>7.22E-2</v>
      </c>
      <c r="V42" s="31">
        <f>'льготный период'!J30</f>
        <v>7.22E-2</v>
      </c>
      <c r="W42" s="31">
        <f>'льготный период'!D30</f>
        <v>7.0199999999999999E-2</v>
      </c>
      <c r="X42" s="31">
        <f>'льготный период'!V30</f>
        <v>5.6899999999999999E-2</v>
      </c>
      <c r="Y42" s="31">
        <f>'льготный период'!P31</f>
        <v>4.1099999999999998E-2</v>
      </c>
      <c r="Z42" s="31">
        <f>'льготный период'!AB30</f>
        <v>4.0300000000000002E-2</v>
      </c>
      <c r="AA42" s="66">
        <f t="shared" si="1"/>
        <v>0.1221</v>
      </c>
      <c r="AB42" s="31">
        <f>'льготный период'!K30</f>
        <v>0.1221</v>
      </c>
      <c r="AC42" s="67">
        <f t="shared" si="5"/>
        <v>0.16789999999999999</v>
      </c>
      <c r="AD42" s="31">
        <f>'льготный период'!W30</f>
        <v>0.1144</v>
      </c>
      <c r="AE42" s="31">
        <f>'льготный период'!Q31</f>
        <v>8.2799999999999999E-2</v>
      </c>
      <c r="AF42" s="31">
        <f>'льготный период'!AC30</f>
        <v>8.14E-2</v>
      </c>
    </row>
    <row r="43" spans="1:32" x14ac:dyDescent="0.25">
      <c r="A43" s="28">
        <f t="shared" si="8"/>
        <v>25</v>
      </c>
      <c r="B43" s="66">
        <f t="shared" si="7"/>
        <v>3.5999999999999983E-2</v>
      </c>
      <c r="C43" s="66">
        <f t="shared" si="2"/>
        <v>0.126</v>
      </c>
      <c r="D43" s="31">
        <f>IF($A$12=$A$16,' на весь срок'!I30,'льготный период'!H31)</f>
        <v>3.5999999999999983E-2</v>
      </c>
      <c r="E43" s="31">
        <f>IF($A$12=$A$16,' на весь срок'!C30,'льготный период'!B31)</f>
        <v>5.5999999999999987E-2</v>
      </c>
      <c r="F43" s="31">
        <f>' на весь срок'!S30</f>
        <v>0.14399999999999999</v>
      </c>
      <c r="G43" s="31">
        <f>' на весь срок'!N32</f>
        <v>0.14199999999999999</v>
      </c>
      <c r="H43" s="31">
        <f>' на весь срок'!W30</f>
        <v>0.14799999999999996</v>
      </c>
      <c r="I43" s="66">
        <f t="shared" si="3"/>
        <v>0.18629999999999999</v>
      </c>
      <c r="J43" s="31">
        <f>' на весь срок'!J30</f>
        <v>0.18629999999999999</v>
      </c>
      <c r="K43" s="31">
        <f>' на весь срок'!D30</f>
        <v>0.17380000000000001</v>
      </c>
      <c r="L43" s="31">
        <f>' на весь срок'!T30</f>
        <v>0.1318</v>
      </c>
      <c r="M43" s="31">
        <f>' на весь срок'!O32</f>
        <v>0.1009</v>
      </c>
      <c r="N43" s="31">
        <f>' на весь срок'!X30</f>
        <v>9.5000000000000001E-2</v>
      </c>
      <c r="O43" s="66">
        <f t="shared" si="4"/>
        <v>5.28E-2</v>
      </c>
      <c r="P43" s="31">
        <f>'льготный период'!I31</f>
        <v>5.28E-2</v>
      </c>
      <c r="Q43" s="31">
        <f>'льготный период'!C31</f>
        <v>5.0500000000000003E-2</v>
      </c>
      <c r="R43" s="31">
        <f>'льготный период'!U31</f>
        <v>3.1E-2</v>
      </c>
      <c r="S43" s="31">
        <f>'льготный период'!O32</f>
        <v>2.2599999999999999E-2</v>
      </c>
      <c r="T43" s="31">
        <f>'льготный период'!AA31</f>
        <v>2.2200000000000001E-2</v>
      </c>
      <c r="U43" s="66">
        <f t="shared" si="0"/>
        <v>7.3999999999999996E-2</v>
      </c>
      <c r="V43" s="31">
        <f>'льготный период'!J31</f>
        <v>7.3999999999999996E-2</v>
      </c>
      <c r="W43" s="31">
        <f>'льготный период'!D31</f>
        <v>7.2099999999999997E-2</v>
      </c>
      <c r="X43" s="31">
        <f>'льготный период'!V31</f>
        <v>5.8700000000000002E-2</v>
      </c>
      <c r="Y43" s="31">
        <f>'льготный период'!P32</f>
        <v>4.2900000000000001E-2</v>
      </c>
      <c r="Z43" s="31">
        <f>'льготный период'!AB31</f>
        <v>4.2200000000000001E-2</v>
      </c>
      <c r="AA43" s="66">
        <f t="shared" si="1"/>
        <v>0.126</v>
      </c>
      <c r="AB43" s="31">
        <f>'льготный период'!K31</f>
        <v>0.126</v>
      </c>
      <c r="AC43" s="67">
        <f t="shared" si="5"/>
        <v>0.17380000000000001</v>
      </c>
      <c r="AD43" s="31">
        <f>'льготный период'!W31</f>
        <v>0.1181</v>
      </c>
      <c r="AE43" s="31">
        <f>'льготный период'!Q32</f>
        <v>8.6499999999999994E-2</v>
      </c>
      <c r="AF43" s="31">
        <f>'льготный период'!AC31</f>
        <v>8.5099999999999995E-2</v>
      </c>
    </row>
    <row r="44" spans="1:32" x14ac:dyDescent="0.25">
      <c r="A44" s="28">
        <f t="shared" si="8"/>
        <v>26</v>
      </c>
      <c r="B44" s="66">
        <f t="shared" si="7"/>
        <v>3.4999999999999983E-2</v>
      </c>
      <c r="C44" s="66">
        <f t="shared" si="2"/>
        <v>0.12989999999999999</v>
      </c>
      <c r="D44" s="31">
        <f>IF($A$12=$A$16,' на весь срок'!I31,'льготный период'!H32)</f>
        <v>3.4999999999999983E-2</v>
      </c>
      <c r="E44" s="31">
        <f>IF($A$12=$A$16,' на весь срок'!C31,'льготный период'!B32)</f>
        <v>5.4999999999999986E-2</v>
      </c>
      <c r="F44" s="31">
        <f>' на весь срок'!S31</f>
        <v>0.14299999999999999</v>
      </c>
      <c r="G44" s="31">
        <f>' на весь срок'!N33</f>
        <v>0.14099999999999999</v>
      </c>
      <c r="H44" s="31">
        <f>' на весь срок'!W31</f>
        <v>0.14699999999999996</v>
      </c>
      <c r="I44" s="66">
        <f t="shared" si="3"/>
        <v>0.1925</v>
      </c>
      <c r="J44" s="31">
        <f>' на весь срок'!J31</f>
        <v>0.1925</v>
      </c>
      <c r="K44" s="31">
        <f>' на весь срок'!D31</f>
        <v>0.17960000000000001</v>
      </c>
      <c r="L44" s="31">
        <f>' на весь срок'!T31</f>
        <v>0.13589999999999999</v>
      </c>
      <c r="M44" s="31">
        <f>' на весь срок'!O33</f>
        <v>0.105</v>
      </c>
      <c r="N44" s="31">
        <f>' на весь срок'!X31</f>
        <v>9.9199999999999997E-2</v>
      </c>
      <c r="O44" s="66">
        <f t="shared" si="4"/>
        <v>5.3699999999999998E-2</v>
      </c>
      <c r="P44" s="31">
        <f>'льготный период'!I32</f>
        <v>5.3699999999999998E-2</v>
      </c>
      <c r="Q44" s="31">
        <f>'льготный период'!C32</f>
        <v>5.1499999999999997E-2</v>
      </c>
      <c r="R44" s="31">
        <f>'льготный период'!U32</f>
        <v>3.1899999999999998E-2</v>
      </c>
      <c r="S44" s="31">
        <f>'льготный период'!O33</f>
        <v>2.3599999999999999E-2</v>
      </c>
      <c r="T44" s="31">
        <f>'льготный период'!AA32</f>
        <v>2.3199999999999998E-2</v>
      </c>
      <c r="U44" s="66">
        <f t="shared" si="0"/>
        <v>7.5800000000000006E-2</v>
      </c>
      <c r="V44" s="31">
        <f>'льготный период'!J32</f>
        <v>7.5800000000000006E-2</v>
      </c>
      <c r="W44" s="31">
        <f>'льготный период'!D32</f>
        <v>7.3899999999999993E-2</v>
      </c>
      <c r="X44" s="31">
        <f>'льготный период'!V32</f>
        <v>6.0600000000000001E-2</v>
      </c>
      <c r="Y44" s="31">
        <f>'льготный период'!P33</f>
        <v>4.48E-2</v>
      </c>
      <c r="Z44" s="31">
        <f>'льготный период'!AB32</f>
        <v>4.3999999999999997E-2</v>
      </c>
      <c r="AA44" s="66">
        <f t="shared" si="1"/>
        <v>0.12989999999999999</v>
      </c>
      <c r="AB44" s="31">
        <f>'льготный период'!K32</f>
        <v>0.12989999999999999</v>
      </c>
      <c r="AC44" s="67">
        <f t="shared" si="5"/>
        <v>0.17960000000000001</v>
      </c>
      <c r="AD44" s="31">
        <f>'льготный период'!W32</f>
        <v>0.12180000000000001</v>
      </c>
      <c r="AE44" s="31">
        <f>'льготный период'!Q33</f>
        <v>9.01E-2</v>
      </c>
      <c r="AF44" s="31">
        <f>'льготный период'!AC32</f>
        <v>8.8800000000000004E-2</v>
      </c>
    </row>
    <row r="45" spans="1:32" x14ac:dyDescent="0.25">
      <c r="A45" s="28">
        <f t="shared" si="8"/>
        <v>27</v>
      </c>
      <c r="B45" s="66">
        <f t="shared" si="7"/>
        <v>3.3999999999999982E-2</v>
      </c>
      <c r="C45" s="66">
        <f t="shared" si="2"/>
        <v>0.1338</v>
      </c>
      <c r="D45" s="31">
        <f>IF($A$12=$A$16,' на весь срок'!I32,'льготный период'!H33)</f>
        <v>3.3999999999999982E-2</v>
      </c>
      <c r="E45" s="31">
        <f>IF($A$12=$A$16,' на весь срок'!C32,'льготный период'!B33)</f>
        <v>5.3999999999999986E-2</v>
      </c>
      <c r="F45" s="31">
        <f>' на весь срок'!S32</f>
        <v>0.14199999999999999</v>
      </c>
      <c r="G45" s="31">
        <f>' на весь срок'!N34</f>
        <v>0.13999999999999999</v>
      </c>
      <c r="H45" s="31">
        <f>' на весь срок'!W32</f>
        <v>0.14599999999999996</v>
      </c>
      <c r="I45" s="66">
        <f t="shared" si="3"/>
        <v>0.1986</v>
      </c>
      <c r="J45" s="31">
        <f>' на весь срок'!J32</f>
        <v>0.1986</v>
      </c>
      <c r="K45" s="31">
        <f>' на весь срок'!D32</f>
        <v>0.18540000000000001</v>
      </c>
      <c r="L45" s="31">
        <f>' на весь срок'!T32</f>
        <v>0.14000000000000001</v>
      </c>
      <c r="M45" s="31">
        <f>' на весь срок'!O34</f>
        <v>0.109</v>
      </c>
      <c r="N45" s="31">
        <f>' на весь срок'!X32</f>
        <v>0.1033</v>
      </c>
      <c r="O45" s="66">
        <f t="shared" si="4"/>
        <v>5.4699999999999999E-2</v>
      </c>
      <c r="P45" s="31">
        <f>'льготный период'!I33</f>
        <v>5.4699999999999999E-2</v>
      </c>
      <c r="Q45" s="31">
        <f>'льготный период'!C33</f>
        <v>5.2400000000000002E-2</v>
      </c>
      <c r="R45" s="31">
        <f>'льготный период'!U33</f>
        <v>3.2899999999999999E-2</v>
      </c>
      <c r="S45" s="31">
        <f>'льготный период'!O34</f>
        <v>2.46E-2</v>
      </c>
      <c r="T45" s="31">
        <f>'льготный период'!AA33</f>
        <v>2.4199999999999999E-2</v>
      </c>
      <c r="U45" s="66">
        <f t="shared" si="0"/>
        <v>7.7600000000000002E-2</v>
      </c>
      <c r="V45" s="31">
        <f>'льготный период'!J33</f>
        <v>7.7600000000000002E-2</v>
      </c>
      <c r="W45" s="31">
        <f>'льготный период'!D33</f>
        <v>7.5700000000000003E-2</v>
      </c>
      <c r="X45" s="31">
        <f>'льготный период'!V33</f>
        <v>6.25E-2</v>
      </c>
      <c r="Y45" s="31">
        <f>'льготный период'!P34</f>
        <v>4.6600000000000003E-2</v>
      </c>
      <c r="Z45" s="31">
        <f>'льготный период'!AB33</f>
        <v>4.5900000000000003E-2</v>
      </c>
      <c r="AA45" s="66">
        <f t="shared" si="1"/>
        <v>0.1338</v>
      </c>
      <c r="AB45" s="31">
        <f>'льготный период'!K33</f>
        <v>0.1338</v>
      </c>
      <c r="AC45" s="67">
        <f t="shared" si="5"/>
        <v>0.18540000000000001</v>
      </c>
      <c r="AD45" s="31">
        <f>'льготный период'!W33</f>
        <v>0.1255</v>
      </c>
      <c r="AE45" s="31">
        <f>'льготный период'!Q34</f>
        <v>9.3799999999999994E-2</v>
      </c>
      <c r="AF45" s="31">
        <f>'льготный период'!AC33</f>
        <v>9.2499999999999999E-2</v>
      </c>
    </row>
    <row r="46" spans="1:32" x14ac:dyDescent="0.25">
      <c r="A46" s="28">
        <f t="shared" si="8"/>
        <v>28</v>
      </c>
      <c r="B46" s="66">
        <f t="shared" si="7"/>
        <v>3.2999999999999981E-2</v>
      </c>
      <c r="C46" s="66">
        <f t="shared" si="2"/>
        <v>0.13769999999999999</v>
      </c>
      <c r="D46" s="31">
        <f>IF($A$12=$A$16,' на весь срок'!I33,'льготный период'!H34)</f>
        <v>3.2999999999999981E-2</v>
      </c>
      <c r="E46" s="31">
        <f>IF($A$12=$A$16,' на весь срок'!C33,'льготный период'!B34)</f>
        <v>5.2999999999999985E-2</v>
      </c>
      <c r="F46" s="31">
        <f>' на весь срок'!S33</f>
        <v>0.14099999999999999</v>
      </c>
      <c r="G46" s="31">
        <f>' на весь срок'!N35</f>
        <v>0.13899999999999998</v>
      </c>
      <c r="H46" s="31">
        <f>' на весь срок'!W33</f>
        <v>0.14499999999999996</v>
      </c>
      <c r="I46" s="66">
        <f t="shared" si="3"/>
        <v>0.20469999999999999</v>
      </c>
      <c r="J46" s="31">
        <f>' на весь срок'!J33</f>
        <v>0.20469999999999999</v>
      </c>
      <c r="K46" s="31">
        <f>' на весь срок'!D33</f>
        <v>0.19120000000000001</v>
      </c>
      <c r="L46" s="31">
        <f>' на весь срок'!T33</f>
        <v>0.14410000000000001</v>
      </c>
      <c r="M46" s="31">
        <f>' на весь срок'!O35</f>
        <v>0.11310000000000001</v>
      </c>
      <c r="N46" s="31">
        <f>' на весь срок'!X33</f>
        <v>0.1074</v>
      </c>
      <c r="O46" s="66">
        <f t="shared" si="4"/>
        <v>5.5599999999999997E-2</v>
      </c>
      <c r="P46" s="31">
        <f>'льготный период'!I34</f>
        <v>5.5599999999999997E-2</v>
      </c>
      <c r="Q46" s="31">
        <f>'льготный период'!C34</f>
        <v>5.3400000000000003E-2</v>
      </c>
      <c r="R46" s="31">
        <f>'льготный период'!U34</f>
        <v>3.39E-2</v>
      </c>
      <c r="S46" s="31">
        <f>'льготный период'!O35</f>
        <v>2.5499999999999998E-2</v>
      </c>
      <c r="T46" s="31">
        <f>'льготный период'!AA34</f>
        <v>2.52E-2</v>
      </c>
      <c r="U46" s="66">
        <f t="shared" si="0"/>
        <v>7.9500000000000001E-2</v>
      </c>
      <c r="V46" s="31">
        <f>'льготный период'!J34</f>
        <v>7.9500000000000001E-2</v>
      </c>
      <c r="W46" s="31">
        <f>'льготный период'!D34</f>
        <v>7.7600000000000002E-2</v>
      </c>
      <c r="X46" s="31">
        <f>'льготный период'!V34</f>
        <v>6.4299999999999996E-2</v>
      </c>
      <c r="Y46" s="31">
        <f>'льготный период'!P35</f>
        <v>4.8500000000000001E-2</v>
      </c>
      <c r="Z46" s="31">
        <f>'льготный период'!AB34</f>
        <v>4.7800000000000002E-2</v>
      </c>
      <c r="AA46" s="66">
        <f t="shared" si="1"/>
        <v>0.13769999999999999</v>
      </c>
      <c r="AB46" s="31">
        <f>'льготный период'!K34</f>
        <v>0.13769999999999999</v>
      </c>
      <c r="AC46" s="67">
        <f t="shared" si="5"/>
        <v>0.19120000000000001</v>
      </c>
      <c r="AD46" s="31">
        <f>'льготный период'!W34</f>
        <v>0.12920000000000001</v>
      </c>
      <c r="AE46" s="31">
        <f>'льготный период'!Q35</f>
        <v>9.7500000000000003E-2</v>
      </c>
      <c r="AF46" s="31">
        <f>'льготный период'!AC34</f>
        <v>9.6199999999999994E-2</v>
      </c>
    </row>
    <row r="47" spans="1:32" x14ac:dyDescent="0.25">
      <c r="A47" s="28">
        <f t="shared" si="8"/>
        <v>29</v>
      </c>
      <c r="B47" s="66">
        <f t="shared" si="7"/>
        <v>3.199999999999998E-2</v>
      </c>
      <c r="C47" s="66">
        <f t="shared" si="2"/>
        <v>0.1416</v>
      </c>
      <c r="D47" s="31">
        <f>IF($A$12=$A$16,' на весь срок'!I34,'льготный период'!H35)</f>
        <v>3.199999999999998E-2</v>
      </c>
      <c r="E47" s="31">
        <f>IF($A$12=$A$16,' на весь срок'!C34,'льготный период'!B35)</f>
        <v>5.1999999999999984E-2</v>
      </c>
      <c r="F47" s="31">
        <f>' на весь срок'!S34</f>
        <v>0.13999999999999999</v>
      </c>
      <c r="G47" s="31">
        <f>' на весь срок'!N36</f>
        <v>0.13799999999999998</v>
      </c>
      <c r="H47" s="31">
        <f>' на весь срок'!W34</f>
        <v>0.14399999999999996</v>
      </c>
      <c r="I47" s="66">
        <f t="shared" si="3"/>
        <v>0.21079999999999999</v>
      </c>
      <c r="J47" s="31">
        <f>' на весь срок'!J34</f>
        <v>0.21079999999999999</v>
      </c>
      <c r="K47" s="31">
        <f>' на весь срок'!D34</f>
        <v>0.19700000000000001</v>
      </c>
      <c r="L47" s="31">
        <f>' на весь срок'!T34</f>
        <v>0.1482</v>
      </c>
      <c r="M47" s="31">
        <f>' на весь срок'!O36</f>
        <v>0.1171</v>
      </c>
      <c r="N47" s="31">
        <f>' на весь срок'!X34</f>
        <v>0.1115</v>
      </c>
      <c r="O47" s="66">
        <f t="shared" si="4"/>
        <v>5.6599999999999998E-2</v>
      </c>
      <c r="P47" s="31">
        <f>'льготный период'!I35</f>
        <v>5.6599999999999998E-2</v>
      </c>
      <c r="Q47" s="31">
        <f>'льготный период'!C35</f>
        <v>5.4300000000000001E-2</v>
      </c>
      <c r="R47" s="31">
        <f>'льготный период'!U35</f>
        <v>3.49E-2</v>
      </c>
      <c r="S47" s="31">
        <f>'льготный период'!O36</f>
        <v>2.6499999999999999E-2</v>
      </c>
      <c r="T47" s="31">
        <f>'льготный период'!AA35</f>
        <v>2.6100000000000002E-2</v>
      </c>
      <c r="U47" s="66">
        <f t="shared" si="0"/>
        <v>8.1299999999999997E-2</v>
      </c>
      <c r="V47" s="31">
        <f>'льготный период'!J35</f>
        <v>8.1299999999999997E-2</v>
      </c>
      <c r="W47" s="31">
        <f>'льготный период'!D35</f>
        <v>7.9399999999999998E-2</v>
      </c>
      <c r="X47" s="31">
        <f>'льготный период'!V35</f>
        <v>6.6199999999999995E-2</v>
      </c>
      <c r="Y47" s="31">
        <f>'льготный период'!P36</f>
        <v>5.0299999999999997E-2</v>
      </c>
      <c r="Z47" s="31">
        <f>'льготный период'!AB35</f>
        <v>4.9599999999999998E-2</v>
      </c>
      <c r="AA47" s="66">
        <f t="shared" si="1"/>
        <v>0.1416</v>
      </c>
      <c r="AB47" s="31">
        <f>'льготный период'!K35</f>
        <v>0.1416</v>
      </c>
      <c r="AC47" s="67">
        <f t="shared" si="5"/>
        <v>0.19700000000000001</v>
      </c>
      <c r="AD47" s="31">
        <f>'льготный период'!W35</f>
        <v>0.13289999999999999</v>
      </c>
      <c r="AE47" s="31">
        <f>'льготный период'!Q36</f>
        <v>0.1011</v>
      </c>
      <c r="AF47" s="31">
        <f>'льготный период'!AC35</f>
        <v>9.9900000000000003E-2</v>
      </c>
    </row>
    <row r="48" spans="1:32" x14ac:dyDescent="0.25">
      <c r="A48" s="28">
        <f t="shared" si="8"/>
        <v>30</v>
      </c>
      <c r="B48" s="66">
        <f t="shared" si="7"/>
        <v>3.0999999999999979E-2</v>
      </c>
      <c r="C48" s="66">
        <f t="shared" si="2"/>
        <v>0.14549999999999999</v>
      </c>
      <c r="D48" s="31">
        <f>IF($A$12=$A$16,' на весь срок'!I35,'льготный период'!H36)</f>
        <v>3.0999999999999979E-2</v>
      </c>
      <c r="E48" s="31">
        <f>IF($A$12=$A$16,' на весь срок'!C35,'льготный период'!B36)</f>
        <v>5.0999999999999983E-2</v>
      </c>
      <c r="F48" s="31">
        <f>' на весь срок'!S35</f>
        <v>0.13899999999999998</v>
      </c>
      <c r="G48" s="31">
        <f>' на весь срок'!N37</f>
        <v>0.13699999999999998</v>
      </c>
      <c r="H48" s="31">
        <f>' на весь срок'!W35</f>
        <v>0.14299999999999996</v>
      </c>
      <c r="I48" s="66">
        <f t="shared" si="3"/>
        <v>0.21679999999999999</v>
      </c>
      <c r="J48" s="31">
        <f>' на весь срок'!J35</f>
        <v>0.21679999999999999</v>
      </c>
      <c r="K48" s="31">
        <f>' на весь срок'!D35</f>
        <v>0.20280000000000001</v>
      </c>
      <c r="L48" s="31">
        <f>' на весь срок'!T35</f>
        <v>0.1522</v>
      </c>
      <c r="M48" s="31">
        <f>' на весь срок'!O37</f>
        <v>0.1212</v>
      </c>
      <c r="N48" s="31">
        <f>' на весь срок'!X35</f>
        <v>0.11559999999999999</v>
      </c>
      <c r="O48" s="66">
        <f t="shared" si="4"/>
        <v>5.7599999999999998E-2</v>
      </c>
      <c r="P48" s="31">
        <f>'льготный период'!I36</f>
        <v>5.7599999999999998E-2</v>
      </c>
      <c r="Q48" s="31">
        <f>'льготный период'!C36</f>
        <v>5.5300000000000002E-2</v>
      </c>
      <c r="R48" s="31">
        <f>'льготный период'!U36</f>
        <v>3.5900000000000001E-2</v>
      </c>
      <c r="S48" s="31">
        <f>'льготный период'!O37</f>
        <v>2.75E-2</v>
      </c>
      <c r="T48" s="31">
        <f>'льготный период'!AA36</f>
        <v>2.7099999999999999E-2</v>
      </c>
      <c r="U48" s="66">
        <f t="shared" si="0"/>
        <v>8.3099999999999993E-2</v>
      </c>
      <c r="V48" s="31">
        <f>'льготный период'!J36</f>
        <v>8.3099999999999993E-2</v>
      </c>
      <c r="W48" s="31">
        <f>'льготный период'!D36</f>
        <v>8.1299999999999997E-2</v>
      </c>
      <c r="X48" s="31">
        <f>'льготный период'!V36</f>
        <v>6.8099999999999994E-2</v>
      </c>
      <c r="Y48" s="31">
        <f>'льготный период'!P37</f>
        <v>5.2200000000000003E-2</v>
      </c>
      <c r="Z48" s="31">
        <f>'льготный период'!AB36</f>
        <v>5.1499999999999997E-2</v>
      </c>
      <c r="AA48" s="66">
        <f t="shared" si="1"/>
        <v>0.14549999999999999</v>
      </c>
      <c r="AB48" s="31">
        <f>'льготный период'!K36</f>
        <v>0.14549999999999999</v>
      </c>
      <c r="AC48" s="67">
        <f t="shared" si="5"/>
        <v>0.20280000000000001</v>
      </c>
      <c r="AD48" s="31">
        <f>'льготный период'!W36</f>
        <v>0.13650000000000001</v>
      </c>
      <c r="AE48" s="31">
        <f>'льготный период'!Q37</f>
        <v>0.1048</v>
      </c>
      <c r="AF48" s="31">
        <f>'льготный период'!AC36</f>
        <v>0.10349999999999999</v>
      </c>
    </row>
    <row r="49" spans="1:32" x14ac:dyDescent="0.25">
      <c r="A49" s="28">
        <f t="shared" si="8"/>
        <v>31</v>
      </c>
      <c r="B49" s="66">
        <f t="shared" si="7"/>
        <v>2.9999999999999978E-2</v>
      </c>
      <c r="C49" s="66">
        <f t="shared" si="2"/>
        <v>0.14929999999999999</v>
      </c>
      <c r="D49" s="31">
        <f>IF($A$12=$A$16,' на весь срок'!I36,'льготный период'!H37)</f>
        <v>2.9999999999999978E-2</v>
      </c>
      <c r="E49" s="31">
        <f>IF($A$12=$A$16,' на весь срок'!C36,'льготный период'!B37)</f>
        <v>4.9999999999999982E-2</v>
      </c>
      <c r="F49" s="31">
        <f>' на весь срок'!S36</f>
        <v>0.13799999999999998</v>
      </c>
      <c r="G49" s="31">
        <f>' на весь срок'!N38</f>
        <v>0.13599999999999998</v>
      </c>
      <c r="H49" s="31">
        <f>' на весь срок'!W36</f>
        <v>0.14199999999999996</v>
      </c>
      <c r="I49" s="66">
        <f t="shared" si="3"/>
        <v>0.2228</v>
      </c>
      <c r="J49" s="31">
        <f>' на весь срок'!J36</f>
        <v>0.2228</v>
      </c>
      <c r="K49" s="31">
        <f>' на весь срок'!D36</f>
        <v>0.20849999999999999</v>
      </c>
      <c r="L49" s="31">
        <f>' на весь срок'!T36</f>
        <v>0.15629999999999999</v>
      </c>
      <c r="M49" s="31">
        <f>' на весь срок'!O38</f>
        <v>0.12520000000000001</v>
      </c>
      <c r="N49" s="31">
        <f>' на весь срок'!X36</f>
        <v>0.1197</v>
      </c>
      <c r="O49" s="66">
        <f t="shared" si="4"/>
        <v>5.8500000000000003E-2</v>
      </c>
      <c r="P49" s="31">
        <f>'льготный период'!I37</f>
        <v>5.8500000000000003E-2</v>
      </c>
      <c r="Q49" s="31">
        <f>'льготный период'!C37</f>
        <v>5.6300000000000003E-2</v>
      </c>
      <c r="R49" s="31">
        <f>'льготный период'!U37</f>
        <v>3.6900000000000002E-2</v>
      </c>
      <c r="S49" s="31">
        <f>'льготный период'!O38</f>
        <v>2.8500000000000001E-2</v>
      </c>
      <c r="T49" s="31">
        <f>'льготный период'!AA37</f>
        <v>2.81E-2</v>
      </c>
      <c r="U49" s="66">
        <f t="shared" si="0"/>
        <v>8.4900000000000003E-2</v>
      </c>
      <c r="V49" s="31">
        <f>'льготный период'!J37</f>
        <v>8.4900000000000003E-2</v>
      </c>
      <c r="W49" s="31">
        <f>'льготный период'!D37</f>
        <v>8.3099999999999993E-2</v>
      </c>
      <c r="X49" s="31">
        <f>'льготный период'!V37</f>
        <v>6.9900000000000004E-2</v>
      </c>
      <c r="Y49" s="31">
        <f>'льготный период'!P38</f>
        <v>5.3999999999999999E-2</v>
      </c>
      <c r="Z49" s="31">
        <f>'льготный период'!AB37</f>
        <v>5.33E-2</v>
      </c>
      <c r="AA49" s="66">
        <f t="shared" si="1"/>
        <v>0.14929999999999999</v>
      </c>
      <c r="AB49" s="31">
        <f>'льготный период'!K37</f>
        <v>0.14929999999999999</v>
      </c>
      <c r="AC49" s="67">
        <f t="shared" si="5"/>
        <v>0.20849999999999999</v>
      </c>
      <c r="AD49" s="31">
        <f>'льготный период'!W37</f>
        <v>0.14019999999999999</v>
      </c>
      <c r="AE49" s="31">
        <f>'льготный период'!Q38</f>
        <v>0.1084</v>
      </c>
      <c r="AF49" s="31">
        <f>'льготный период'!AC37</f>
        <v>0.1072</v>
      </c>
    </row>
    <row r="50" spans="1:32" x14ac:dyDescent="0.25">
      <c r="A50" s="28">
        <f t="shared" si="8"/>
        <v>32</v>
      </c>
      <c r="B50" s="66">
        <f t="shared" si="7"/>
        <v>2.8999999999999977E-2</v>
      </c>
      <c r="C50" s="66">
        <f t="shared" si="2"/>
        <v>0.1532</v>
      </c>
      <c r="D50" s="31">
        <f>IF($A$12=$A$16,' на весь срок'!I37,'льготный период'!H38)</f>
        <v>2.8999999999999977E-2</v>
      </c>
      <c r="E50" s="31">
        <f>IF($A$12=$A$16,' на весь срок'!C37,'льготный период'!B38)</f>
        <v>4.8999999999999981E-2</v>
      </c>
      <c r="F50" s="31">
        <f>' на весь срок'!S37</f>
        <v>0.13699999999999998</v>
      </c>
      <c r="G50" s="31">
        <f>' на весь срок'!N39</f>
        <v>0.13499999999999998</v>
      </c>
      <c r="H50" s="31">
        <f>' на весь срок'!W37</f>
        <v>0.14099999999999996</v>
      </c>
      <c r="I50" s="66">
        <f t="shared" si="3"/>
        <v>0.2676</v>
      </c>
      <c r="J50" s="31">
        <f>' на весь срок'!J37</f>
        <v>0.2676</v>
      </c>
      <c r="K50" s="31">
        <f>' на весь срок'!D37</f>
        <v>0.2142</v>
      </c>
      <c r="L50" s="31">
        <f>' на весь срок'!T37</f>
        <v>0.1603</v>
      </c>
      <c r="M50" s="31">
        <f>' на весь срок'!O39</f>
        <v>0.12920000000000001</v>
      </c>
      <c r="N50" s="31">
        <f>' на весь срок'!X37</f>
        <v>0.1237</v>
      </c>
      <c r="O50" s="66">
        <f t="shared" si="4"/>
        <v>5.9499999999999997E-2</v>
      </c>
      <c r="P50" s="31">
        <f>'льготный период'!I38</f>
        <v>5.9499999999999997E-2</v>
      </c>
      <c r="Q50" s="31">
        <f>'льготный период'!C38</f>
        <v>5.7200000000000001E-2</v>
      </c>
      <c r="R50" s="31">
        <f>'льготный период'!U38</f>
        <v>3.7900000000000003E-2</v>
      </c>
      <c r="S50" s="31">
        <f>'льготный период'!O39</f>
        <v>2.9399999999999999E-2</v>
      </c>
      <c r="T50" s="31">
        <f>'льготный период'!AA38</f>
        <v>2.9100000000000001E-2</v>
      </c>
      <c r="U50" s="66">
        <f t="shared" si="0"/>
        <v>8.6699999999999999E-2</v>
      </c>
      <c r="V50" s="31">
        <f>'льготный период'!J38</f>
        <v>8.6699999999999999E-2</v>
      </c>
      <c r="W50" s="31">
        <f>'льготный период'!D38</f>
        <v>8.4900000000000003E-2</v>
      </c>
      <c r="X50" s="31">
        <f>'льготный период'!V38</f>
        <v>7.1800000000000003E-2</v>
      </c>
      <c r="Y50" s="31">
        <f>'льготный период'!P39</f>
        <v>5.5800000000000002E-2</v>
      </c>
      <c r="Z50" s="31">
        <f>'льготный период'!AB38</f>
        <v>5.5199999999999999E-2</v>
      </c>
      <c r="AA50" s="66">
        <f t="shared" si="1"/>
        <v>0.1532</v>
      </c>
      <c r="AB50" s="31">
        <f>'льготный период'!K38</f>
        <v>0.1532</v>
      </c>
      <c r="AC50" s="67">
        <f t="shared" si="5"/>
        <v>0.2142</v>
      </c>
      <c r="AD50" s="31">
        <f>'льготный период'!W38</f>
        <v>0.14380000000000001</v>
      </c>
      <c r="AE50" s="31">
        <f>'льготный период'!Q39</f>
        <v>0.11210000000000001</v>
      </c>
      <c r="AF50" s="31">
        <f>'льготный период'!AC38</f>
        <v>0.1109</v>
      </c>
    </row>
    <row r="51" spans="1:32" x14ac:dyDescent="0.25">
      <c r="A51" s="28">
        <f t="shared" si="8"/>
        <v>33</v>
      </c>
      <c r="B51" s="66">
        <f t="shared" si="7"/>
        <v>2.7999999999999976E-2</v>
      </c>
      <c r="C51" s="66">
        <f t="shared" si="2"/>
        <v>0.157</v>
      </c>
      <c r="D51" s="31">
        <f>IF($A$12=$A$16,' на весь срок'!I38,'льготный период'!H39)</f>
        <v>2.7999999999999976E-2</v>
      </c>
      <c r="E51" s="31">
        <f>IF($A$12=$A$16,' на весь срок'!C38,'льготный период'!B39)</f>
        <v>4.799999999999998E-2</v>
      </c>
      <c r="F51" s="31">
        <f>' на весь срок'!S38</f>
        <v>0.13599999999999998</v>
      </c>
      <c r="G51" s="31">
        <f>' на весь срок'!N40</f>
        <v>0.13399999999999998</v>
      </c>
      <c r="H51" s="31">
        <f>' на весь срок'!W38</f>
        <v>0.13999999999999996</v>
      </c>
      <c r="I51" s="66">
        <f t="shared" si="3"/>
        <v>0.27450000000000002</v>
      </c>
      <c r="J51" s="31">
        <f>' на весь срок'!J38</f>
        <v>0.27450000000000002</v>
      </c>
      <c r="K51" s="31">
        <f>' на весь срок'!D38</f>
        <v>0.21990000000000001</v>
      </c>
      <c r="L51" s="31">
        <f>' на весь срок'!T38</f>
        <v>0.16439999999999999</v>
      </c>
      <c r="M51" s="31">
        <f>' на весь срок'!O40</f>
        <v>0.13320000000000001</v>
      </c>
      <c r="N51" s="31">
        <f>' на весь срок'!X38</f>
        <v>0.1278</v>
      </c>
      <c r="O51" s="66">
        <f t="shared" si="4"/>
        <v>6.0400000000000002E-2</v>
      </c>
      <c r="P51" s="31">
        <f>'льготный период'!I39</f>
        <v>6.0400000000000002E-2</v>
      </c>
      <c r="Q51" s="31">
        <f>'льготный период'!C39</f>
        <v>5.8200000000000002E-2</v>
      </c>
      <c r="R51" s="31">
        <f>'льготный период'!U39</f>
        <v>3.8899999999999997E-2</v>
      </c>
      <c r="S51" s="31">
        <f>'льготный период'!O40</f>
        <v>3.04E-2</v>
      </c>
      <c r="T51" s="31">
        <f>'льготный период'!AA39</f>
        <v>3.0099999999999998E-2</v>
      </c>
      <c r="U51" s="66">
        <f t="shared" si="0"/>
        <v>8.8499999999999995E-2</v>
      </c>
      <c r="V51" s="31">
        <f>'льготный период'!J39</f>
        <v>8.8499999999999995E-2</v>
      </c>
      <c r="W51" s="31">
        <f>'льготный период'!D39</f>
        <v>8.6800000000000002E-2</v>
      </c>
      <c r="X51" s="31">
        <f>'льготный период'!V39</f>
        <v>7.3599999999999999E-2</v>
      </c>
      <c r="Y51" s="31">
        <f>'льготный период'!P40</f>
        <v>5.7700000000000001E-2</v>
      </c>
      <c r="Z51" s="31">
        <f>'льготный период'!AB39</f>
        <v>5.7000000000000002E-2</v>
      </c>
      <c r="AA51" s="66">
        <f t="shared" si="1"/>
        <v>0.157</v>
      </c>
      <c r="AB51" s="31">
        <f>'льготный период'!K39</f>
        <v>0.157</v>
      </c>
      <c r="AC51" s="67">
        <f t="shared" si="5"/>
        <v>0.21990000000000001</v>
      </c>
      <c r="AD51" s="31">
        <f>'льготный период'!W39</f>
        <v>0.14749999999999999</v>
      </c>
      <c r="AE51" s="31">
        <f>'льготный период'!Q40</f>
        <v>0.1157</v>
      </c>
      <c r="AF51" s="31">
        <f>'льготный период'!AC39</f>
        <v>0.11459999999999999</v>
      </c>
    </row>
    <row r="52" spans="1:32" x14ac:dyDescent="0.25">
      <c r="A52" s="28">
        <f t="shared" si="8"/>
        <v>34</v>
      </c>
      <c r="B52" s="66">
        <f t="shared" ref="B52:B83" si="9">IF(HLOOKUP($A$6,$D$19:$H$112,A52,0)=0,"",HLOOKUP($A$6,$D$19:$H$112,A52,0))</f>
        <v>2.6999999999999975E-2</v>
      </c>
      <c r="C52" s="66">
        <f t="shared" si="2"/>
        <v>0.16089999999999999</v>
      </c>
      <c r="D52" s="31">
        <f>IF($A$12=$A$16,' на весь срок'!I39,'льготный период'!H40)</f>
        <v>2.6999999999999975E-2</v>
      </c>
      <c r="E52" s="31">
        <f>IF($A$12=$A$16,' на весь срок'!C39,'льготный период'!B40)</f>
        <v>4.6999999999999979E-2</v>
      </c>
      <c r="F52" s="31">
        <f>' на весь срок'!S39</f>
        <v>0.13499999999999998</v>
      </c>
      <c r="G52" s="31">
        <f>' на весь срок'!N41</f>
        <v>0.13299999999999998</v>
      </c>
      <c r="H52" s="31">
        <f>' на весь срок'!W39</f>
        <v>0.13899999999999996</v>
      </c>
      <c r="I52" s="66">
        <f t="shared" ref="I52:I83" si="10">HLOOKUP($A$6,$J$19:$N$112,A52,0)</f>
        <v>0.28139999999999998</v>
      </c>
      <c r="J52" s="31">
        <f>' на весь срок'!J39</f>
        <v>0.28139999999999998</v>
      </c>
      <c r="K52" s="31">
        <f>' на весь срок'!D39</f>
        <v>0.22559999999999999</v>
      </c>
      <c r="L52" s="31">
        <f>' на весь срок'!T39</f>
        <v>0.16839999999999999</v>
      </c>
      <c r="M52" s="31">
        <f>' на весь срок'!O41</f>
        <v>0.13730000000000001</v>
      </c>
      <c r="N52" s="31">
        <f>' на весь срок'!X39</f>
        <v>0.13189999999999999</v>
      </c>
      <c r="O52" s="66">
        <f t="shared" ref="O52:O83" si="11">HLOOKUP($A$6,$P$19:$T$112,A52,0)</f>
        <v>6.1400000000000003E-2</v>
      </c>
      <c r="P52" s="31">
        <f>'льготный период'!I40</f>
        <v>6.1400000000000003E-2</v>
      </c>
      <c r="Q52" s="31">
        <f>'льготный период'!C40</f>
        <v>5.91E-2</v>
      </c>
      <c r="R52" s="31">
        <f>'льготный период'!U40</f>
        <v>3.9800000000000002E-2</v>
      </c>
      <c r="S52" s="31">
        <f>'льготный период'!O41</f>
        <v>3.1399999999999997E-2</v>
      </c>
      <c r="T52" s="31">
        <f>'льготный период'!AA40</f>
        <v>3.1E-2</v>
      </c>
      <c r="U52" s="66">
        <f t="shared" ref="U52:U83" si="12">HLOOKUP($A$6,$V$19:$Z$112,A52,0)</f>
        <v>9.0300000000000005E-2</v>
      </c>
      <c r="V52" s="31">
        <f>'льготный период'!J40</f>
        <v>9.0300000000000005E-2</v>
      </c>
      <c r="W52" s="31">
        <f>'льготный период'!D40</f>
        <v>8.8599999999999998E-2</v>
      </c>
      <c r="X52" s="31">
        <f>'льготный период'!V40</f>
        <v>7.5499999999999998E-2</v>
      </c>
      <c r="Y52" s="31">
        <f>'льготный период'!P41</f>
        <v>5.9499999999999997E-2</v>
      </c>
      <c r="Z52" s="31">
        <f>'льготный период'!AB40</f>
        <v>5.8900000000000001E-2</v>
      </c>
      <c r="AA52" s="66">
        <f t="shared" ref="AA52:AA83" si="13">HLOOKUP($A$6,$AB$19:$AF$112,A52,0)</f>
        <v>0.16089999999999999</v>
      </c>
      <c r="AB52" s="31">
        <f>'льготный период'!K40</f>
        <v>0.16089999999999999</v>
      </c>
      <c r="AC52" s="67">
        <f t="shared" si="5"/>
        <v>0.22559999999999999</v>
      </c>
      <c r="AD52" s="31">
        <f>'льготный период'!W40</f>
        <v>0.15110000000000001</v>
      </c>
      <c r="AE52" s="31">
        <f>'льготный период'!Q41</f>
        <v>0.1193</v>
      </c>
      <c r="AF52" s="31">
        <f>'льготный период'!AC40</f>
        <v>0.1182</v>
      </c>
    </row>
    <row r="53" spans="1:32" x14ac:dyDescent="0.25">
      <c r="A53" s="28">
        <f t="shared" si="8"/>
        <v>35</v>
      </c>
      <c r="B53" s="66">
        <f t="shared" si="9"/>
        <v>2.5999999999999975E-2</v>
      </c>
      <c r="C53" s="66">
        <f t="shared" si="2"/>
        <v>0.16470000000000001</v>
      </c>
      <c r="D53" s="31">
        <f>IF($A$12=$A$16,' на весь срок'!I40,'льготный период'!H41)</f>
        <v>2.5999999999999975E-2</v>
      </c>
      <c r="E53" s="31">
        <f>IF($A$12=$A$16,' на весь срок'!C40,'льготный период'!B41)</f>
        <v>4.5999999999999978E-2</v>
      </c>
      <c r="F53" s="31">
        <f>' на весь срок'!S40</f>
        <v>0.13399999999999998</v>
      </c>
      <c r="G53" s="31">
        <f>' на весь срок'!N42</f>
        <v>0.13199999999999998</v>
      </c>
      <c r="H53" s="31">
        <f>' на весь срок'!W40</f>
        <v>0.13799999999999996</v>
      </c>
      <c r="I53" s="66">
        <f t="shared" si="10"/>
        <v>0.2883</v>
      </c>
      <c r="J53" s="31">
        <f>' на весь срок'!J40</f>
        <v>0.2883</v>
      </c>
      <c r="K53" s="31">
        <f>' на весь срок'!D40</f>
        <v>0.23130000000000001</v>
      </c>
      <c r="L53" s="31">
        <f>' на весь срок'!T40</f>
        <v>0.1724</v>
      </c>
      <c r="M53" s="31">
        <f>' на весь срок'!O42</f>
        <v>0.14130000000000001</v>
      </c>
      <c r="N53" s="31">
        <f>' на весь срок'!X40</f>
        <v>0.13589999999999999</v>
      </c>
      <c r="O53" s="66">
        <f t="shared" si="11"/>
        <v>6.2300000000000001E-2</v>
      </c>
      <c r="P53" s="31">
        <f>'льготный период'!I41</f>
        <v>6.2300000000000001E-2</v>
      </c>
      <c r="Q53" s="31">
        <f>'льготный период'!C41</f>
        <v>6.0100000000000001E-2</v>
      </c>
      <c r="R53" s="31">
        <f>'льготный период'!U41</f>
        <v>4.0800000000000003E-2</v>
      </c>
      <c r="S53" s="31">
        <f>'льготный период'!O42</f>
        <v>3.2399999999999998E-2</v>
      </c>
      <c r="T53" s="31">
        <f>'льготный период'!AA41</f>
        <v>3.2000000000000001E-2</v>
      </c>
      <c r="U53" s="66">
        <f t="shared" si="12"/>
        <v>9.2100000000000001E-2</v>
      </c>
      <c r="V53" s="31">
        <f>'льготный период'!J41</f>
        <v>9.2100000000000001E-2</v>
      </c>
      <c r="W53" s="31">
        <f>'льготный период'!D41</f>
        <v>9.0399999999999994E-2</v>
      </c>
      <c r="X53" s="31">
        <f>'льготный период'!V41</f>
        <v>7.7299999999999994E-2</v>
      </c>
      <c r="Y53" s="31">
        <f>'льготный период'!P42</f>
        <v>6.13E-2</v>
      </c>
      <c r="Z53" s="31">
        <f>'льготный период'!AB41</f>
        <v>6.0699999999999997E-2</v>
      </c>
      <c r="AA53" s="66">
        <f t="shared" si="13"/>
        <v>0.16470000000000001</v>
      </c>
      <c r="AB53" s="31">
        <f>'льготный период'!K41</f>
        <v>0.16470000000000001</v>
      </c>
      <c r="AC53" s="67">
        <f t="shared" si="5"/>
        <v>0.23130000000000001</v>
      </c>
      <c r="AD53" s="31">
        <f>'льготный период'!W41</f>
        <v>0.15479999999999999</v>
      </c>
      <c r="AE53" s="31">
        <f>'льготный период'!Q42</f>
        <v>0.1229</v>
      </c>
      <c r="AF53" s="31">
        <f>'льготный период'!AC41</f>
        <v>0.12189999999999999</v>
      </c>
    </row>
    <row r="54" spans="1:32" x14ac:dyDescent="0.25">
      <c r="A54" s="28">
        <f t="shared" si="8"/>
        <v>36</v>
      </c>
      <c r="B54" s="66">
        <f t="shared" si="9"/>
        <v>2.4999999999999974E-2</v>
      </c>
      <c r="C54" s="66">
        <f t="shared" si="2"/>
        <v>0.16850000000000001</v>
      </c>
      <c r="D54" s="31">
        <f>IF($A$12=$A$16,' на весь срок'!I41,'льготный период'!H42)</f>
        <v>2.4999999999999974E-2</v>
      </c>
      <c r="E54" s="31">
        <f>IF($A$12=$A$16,' на весь срок'!C41,'льготный период'!B42)</f>
        <v>4.4999999999999978E-2</v>
      </c>
      <c r="F54" s="31">
        <f>' на весь срок'!S41</f>
        <v>0.13299999999999998</v>
      </c>
      <c r="G54" s="31">
        <f>' на весь срок'!N43</f>
        <v>0.13099999999999998</v>
      </c>
      <c r="H54" s="31">
        <f>' на весь срок'!W41</f>
        <v>0.13699999999999996</v>
      </c>
      <c r="I54" s="66">
        <f t="shared" si="10"/>
        <v>0.29520000000000002</v>
      </c>
      <c r="J54" s="31">
        <f>' на весь срок'!J41</f>
        <v>0.29520000000000002</v>
      </c>
      <c r="K54" s="31">
        <f>' на весь срок'!D41</f>
        <v>0.2369</v>
      </c>
      <c r="L54" s="31">
        <f>' на весь срок'!T41</f>
        <v>0.17649999999999999</v>
      </c>
      <c r="M54" s="31">
        <f>' на весь срок'!O43</f>
        <v>0.14530000000000001</v>
      </c>
      <c r="N54" s="31">
        <f>' на весь срок'!X41</f>
        <v>0.14000000000000001</v>
      </c>
      <c r="O54" s="66">
        <f t="shared" si="11"/>
        <v>6.3299999999999995E-2</v>
      </c>
      <c r="P54" s="31">
        <f>'льготный период'!I42</f>
        <v>6.3299999999999995E-2</v>
      </c>
      <c r="Q54" s="31">
        <f>'льготный период'!C42</f>
        <v>6.1100000000000002E-2</v>
      </c>
      <c r="R54" s="31">
        <f>'льготный период'!U42</f>
        <v>4.1799999999999997E-2</v>
      </c>
      <c r="S54" s="31">
        <f>'льготный период'!O43</f>
        <v>3.3300000000000003E-2</v>
      </c>
      <c r="T54" s="31">
        <f>'льготный период'!AA42</f>
        <v>3.3000000000000002E-2</v>
      </c>
      <c r="U54" s="66">
        <f t="shared" si="12"/>
        <v>9.4E-2</v>
      </c>
      <c r="V54" s="31">
        <f>'льготный период'!J42</f>
        <v>9.4E-2</v>
      </c>
      <c r="W54" s="31">
        <f>'льготный период'!D42</f>
        <v>9.2299999999999993E-2</v>
      </c>
      <c r="X54" s="31">
        <f>'льготный период'!V42</f>
        <v>7.9200000000000007E-2</v>
      </c>
      <c r="Y54" s="31">
        <f>'льготный период'!P43</f>
        <v>6.3200000000000006E-2</v>
      </c>
      <c r="Z54" s="31">
        <f>'льготный период'!AB42</f>
        <v>6.2600000000000003E-2</v>
      </c>
      <c r="AA54" s="66">
        <f t="shared" si="13"/>
        <v>0.16850000000000001</v>
      </c>
      <c r="AB54" s="31">
        <f>'льготный период'!K42</f>
        <v>0.16850000000000001</v>
      </c>
      <c r="AC54" s="67">
        <f t="shared" si="5"/>
        <v>0.2369</v>
      </c>
      <c r="AD54" s="31">
        <f>'льготный период'!W42</f>
        <v>0.15840000000000001</v>
      </c>
      <c r="AE54" s="31">
        <f>'льготный период'!Q43</f>
        <v>0.12659999999999999</v>
      </c>
      <c r="AF54" s="31">
        <f>'льготный период'!AC42</f>
        <v>0.1255</v>
      </c>
    </row>
    <row r="55" spans="1:32" x14ac:dyDescent="0.25">
      <c r="A55" s="28">
        <f t="shared" si="8"/>
        <v>37</v>
      </c>
      <c r="B55" s="66">
        <f t="shared" si="9"/>
        <v>2.3999999999999973E-2</v>
      </c>
      <c r="C55" s="66">
        <f t="shared" si="2"/>
        <v>0.17230000000000001</v>
      </c>
      <c r="D55" s="31">
        <f>IF($A$12=$A$16,' на весь срок'!I42,'льготный период'!H43)</f>
        <v>2.3999999999999973E-2</v>
      </c>
      <c r="E55" s="31">
        <f>IF($A$12=$A$16,' на весь срок'!C42,'льготный период'!B43)</f>
        <v>4.3999999999999977E-2</v>
      </c>
      <c r="F55" s="31">
        <f>' на весь срок'!S42</f>
        <v>0.13199999999999998</v>
      </c>
      <c r="G55" s="31">
        <f>' на весь срок'!N44</f>
        <v>0.12999999999999998</v>
      </c>
      <c r="H55" s="31">
        <f>' на весь срок'!W42</f>
        <v>0.13599999999999995</v>
      </c>
      <c r="I55" s="66">
        <f t="shared" si="10"/>
        <v>0.30199999999999999</v>
      </c>
      <c r="J55" s="31">
        <f>' на весь срок'!J42</f>
        <v>0.30199999999999999</v>
      </c>
      <c r="K55" s="31">
        <f>' на весь срок'!D42</f>
        <v>0.24249999999999999</v>
      </c>
      <c r="L55" s="31">
        <f>' на весь срок'!T42</f>
        <v>0.18049999999999999</v>
      </c>
      <c r="M55" s="31">
        <f>' на весь срок'!O44</f>
        <v>0.1492</v>
      </c>
      <c r="N55" s="31">
        <f>' на весь срок'!X42</f>
        <v>0.14399999999999999</v>
      </c>
      <c r="O55" s="66">
        <f t="shared" si="11"/>
        <v>6.4199999999999993E-2</v>
      </c>
      <c r="P55" s="31">
        <f>'льготный период'!I43</f>
        <v>6.4199999999999993E-2</v>
      </c>
      <c r="Q55" s="31">
        <f>'льготный период'!C43</f>
        <v>6.2E-2</v>
      </c>
      <c r="R55" s="31">
        <f>'льготный период'!U43</f>
        <v>4.2799999999999998E-2</v>
      </c>
      <c r="S55" s="31">
        <f>'льготный период'!O44</f>
        <v>3.4299999999999997E-2</v>
      </c>
      <c r="T55" s="31">
        <f>'льготный период'!AA43</f>
        <v>3.4000000000000002E-2</v>
      </c>
      <c r="U55" s="66">
        <f t="shared" si="12"/>
        <v>9.5799999999999996E-2</v>
      </c>
      <c r="V55" s="31">
        <f>'льготный период'!J43</f>
        <v>9.5799999999999996E-2</v>
      </c>
      <c r="W55" s="31">
        <f>'льготный период'!D43</f>
        <v>9.4100000000000003E-2</v>
      </c>
      <c r="X55" s="31">
        <f>'льготный период'!V43</f>
        <v>8.1000000000000003E-2</v>
      </c>
      <c r="Y55" s="31">
        <f>'льготный период'!P44</f>
        <v>6.5000000000000002E-2</v>
      </c>
      <c r="Z55" s="31">
        <f>'льготный период'!AB43</f>
        <v>6.4399999999999999E-2</v>
      </c>
      <c r="AA55" s="66">
        <f t="shared" si="13"/>
        <v>0.17230000000000001</v>
      </c>
      <c r="AB55" s="31">
        <f>'льготный период'!K43</f>
        <v>0.17230000000000001</v>
      </c>
      <c r="AC55" s="67">
        <f t="shared" si="5"/>
        <v>0.24249999999999999</v>
      </c>
      <c r="AD55" s="31">
        <f>'льготный период'!W43</f>
        <v>0.16200000000000001</v>
      </c>
      <c r="AE55" s="31">
        <f>'льготный период'!Q44</f>
        <v>0.13020000000000001</v>
      </c>
      <c r="AF55" s="31">
        <f>'льготный период'!AC43</f>
        <v>0.12920000000000001</v>
      </c>
    </row>
    <row r="56" spans="1:32" x14ac:dyDescent="0.25">
      <c r="A56" s="28">
        <f t="shared" si="8"/>
        <v>38</v>
      </c>
      <c r="B56" s="66">
        <f t="shared" si="9"/>
        <v>2.2999999999999972E-2</v>
      </c>
      <c r="C56" s="66">
        <f t="shared" si="2"/>
        <v>0.1762</v>
      </c>
      <c r="D56" s="31">
        <f>IF($A$12=$A$16,' на весь срок'!I43,'льготный период'!H44)</f>
        <v>2.2999999999999972E-2</v>
      </c>
      <c r="E56" s="31">
        <f>IF($A$12=$A$16,' на весь срок'!C43,'льготный период'!B44)</f>
        <v>4.2999999999999976E-2</v>
      </c>
      <c r="F56" s="31">
        <f>' на весь срок'!S43</f>
        <v>0.13099999999999998</v>
      </c>
      <c r="G56" s="31">
        <f>' на весь срок'!N45</f>
        <v>0.12899999999999998</v>
      </c>
      <c r="H56" s="31">
        <f>' на весь срок'!W43</f>
        <v>0.13499999999999995</v>
      </c>
      <c r="I56" s="66">
        <f t="shared" si="10"/>
        <v>0.30880000000000002</v>
      </c>
      <c r="J56" s="31">
        <f>' на весь срок'!J43</f>
        <v>0.30880000000000002</v>
      </c>
      <c r="K56" s="31">
        <f>' на весь срок'!D43</f>
        <v>0.24809999999999999</v>
      </c>
      <c r="L56" s="31">
        <f>' на весь срок'!T43</f>
        <v>0.1845</v>
      </c>
      <c r="M56" s="31">
        <f>' на весь срок'!O45</f>
        <v>0.1532</v>
      </c>
      <c r="N56" s="31">
        <f>' на весь срок'!X43</f>
        <v>0.14810000000000001</v>
      </c>
      <c r="O56" s="66">
        <f t="shared" si="11"/>
        <v>6.5199999999999994E-2</v>
      </c>
      <c r="P56" s="31">
        <f>'льготный период'!I44</f>
        <v>6.5199999999999994E-2</v>
      </c>
      <c r="Q56" s="31">
        <f>'льготный период'!C44</f>
        <v>6.3E-2</v>
      </c>
      <c r="R56" s="31">
        <f>'льготный период'!U44</f>
        <v>4.3799999999999999E-2</v>
      </c>
      <c r="S56" s="31">
        <f>'льготный период'!O45</f>
        <v>3.5299999999999998E-2</v>
      </c>
      <c r="T56" s="31">
        <f>'льготный период'!AA44</f>
        <v>3.5000000000000003E-2</v>
      </c>
      <c r="U56" s="66">
        <f t="shared" si="12"/>
        <v>9.7600000000000006E-2</v>
      </c>
      <c r="V56" s="31">
        <f>'льготный период'!J44</f>
        <v>9.7600000000000006E-2</v>
      </c>
      <c r="W56" s="31">
        <f>'льготный период'!D44</f>
        <v>9.5899999999999999E-2</v>
      </c>
      <c r="X56" s="31">
        <f>'льготный период'!V44</f>
        <v>8.2900000000000001E-2</v>
      </c>
      <c r="Y56" s="31">
        <f>'льготный период'!P45</f>
        <v>6.6799999999999998E-2</v>
      </c>
      <c r="Z56" s="31">
        <f>'льготный период'!AB44</f>
        <v>6.6299999999999998E-2</v>
      </c>
      <c r="AA56" s="66">
        <f t="shared" si="13"/>
        <v>0.1762</v>
      </c>
      <c r="AB56" s="31">
        <f>'льготный период'!K44</f>
        <v>0.1762</v>
      </c>
      <c r="AC56" s="67">
        <f t="shared" si="5"/>
        <v>0.24809999999999999</v>
      </c>
      <c r="AD56" s="31">
        <f>'льготный период'!W44</f>
        <v>0.1656</v>
      </c>
      <c r="AE56" s="31">
        <f>'льготный период'!Q45</f>
        <v>0.1338</v>
      </c>
      <c r="AF56" s="31">
        <f>'льготный период'!AC44</f>
        <v>0.1328</v>
      </c>
    </row>
    <row r="57" spans="1:32" x14ac:dyDescent="0.25">
      <c r="A57" s="28">
        <f>A56+1</f>
        <v>39</v>
      </c>
      <c r="B57" s="66">
        <f t="shared" si="9"/>
        <v>2.1999999999999971E-2</v>
      </c>
      <c r="C57" s="66">
        <f t="shared" si="2"/>
        <v>0.18</v>
      </c>
      <c r="D57" s="31">
        <f>IF($A$12=$A$16,' на весь срок'!I44,'льготный период'!H45)</f>
        <v>2.1999999999999971E-2</v>
      </c>
      <c r="E57" s="31">
        <f>IF($A$12=$A$16,' на весь срок'!C44,'льготный период'!B45)</f>
        <v>4.1999999999999975E-2</v>
      </c>
      <c r="F57" s="31">
        <f>' на весь срок'!S44</f>
        <v>0.12999999999999998</v>
      </c>
      <c r="G57" s="31">
        <f>' на весь срок'!N46</f>
        <v>0.12799999999999997</v>
      </c>
      <c r="H57" s="31">
        <f>' на весь срок'!W44</f>
        <v>0.13399999999999995</v>
      </c>
      <c r="I57" s="66">
        <f t="shared" si="10"/>
        <v>0.3155</v>
      </c>
      <c r="J57" s="31">
        <f>' на весь срок'!J44</f>
        <v>0.3155</v>
      </c>
      <c r="K57" s="31">
        <f>' на весь срок'!D44</f>
        <v>0.25369999999999998</v>
      </c>
      <c r="L57" s="31">
        <f>' на весь срок'!T44</f>
        <v>0.1885</v>
      </c>
      <c r="M57" s="31">
        <f>' на весь срок'!O46</f>
        <v>0.15720000000000001</v>
      </c>
      <c r="N57" s="31">
        <f>' на весь срок'!X44</f>
        <v>0.15210000000000001</v>
      </c>
      <c r="O57" s="66">
        <f t="shared" si="11"/>
        <v>6.6100000000000006E-2</v>
      </c>
      <c r="P57" s="31">
        <f>'льготный период'!I45</f>
        <v>6.6100000000000006E-2</v>
      </c>
      <c r="Q57" s="31">
        <f>'льготный период'!C45</f>
        <v>6.3899999999999998E-2</v>
      </c>
      <c r="R57" s="31">
        <f>'льготный период'!U45</f>
        <v>4.48E-2</v>
      </c>
      <c r="S57" s="31">
        <f>'льготный период'!O46</f>
        <v>3.6299999999999999E-2</v>
      </c>
      <c r="T57" s="31">
        <f>'льготный период'!AA45</f>
        <v>3.5900000000000001E-2</v>
      </c>
      <c r="U57" s="66">
        <f t="shared" si="12"/>
        <v>9.9400000000000002E-2</v>
      </c>
      <c r="V57" s="31">
        <f>'льготный период'!J45</f>
        <v>9.9400000000000002E-2</v>
      </c>
      <c r="W57" s="31">
        <f>'льготный период'!D45</f>
        <v>9.7699999999999995E-2</v>
      </c>
      <c r="X57" s="31">
        <f>'льготный период'!V45</f>
        <v>8.4699999999999998E-2</v>
      </c>
      <c r="Y57" s="31">
        <f>'льготный период'!P46</f>
        <v>6.8699999999999997E-2</v>
      </c>
      <c r="Z57" s="31">
        <f>'льготный период'!AB45</f>
        <v>6.8099999999999994E-2</v>
      </c>
      <c r="AA57" s="66">
        <f t="shared" si="13"/>
        <v>0.18</v>
      </c>
      <c r="AB57" s="31">
        <f>'льготный период'!K45</f>
        <v>0.18</v>
      </c>
      <c r="AC57" s="67">
        <f t="shared" si="5"/>
        <v>0.25369999999999998</v>
      </c>
      <c r="AD57" s="31">
        <f>'льготный период'!W45</f>
        <v>0.16930000000000001</v>
      </c>
      <c r="AE57" s="31">
        <f>'льготный период'!Q46</f>
        <v>0.13739999999999999</v>
      </c>
      <c r="AF57" s="31">
        <f>'льготный период'!AC45</f>
        <v>0.13650000000000001</v>
      </c>
    </row>
    <row r="58" spans="1:32" x14ac:dyDescent="0.25">
      <c r="A58" s="28">
        <f t="shared" ref="A58:A69" si="14">A57+1</f>
        <v>40</v>
      </c>
      <c r="B58" s="66">
        <f t="shared" si="9"/>
        <v>2.099999999999997E-2</v>
      </c>
      <c r="C58" s="66">
        <f t="shared" si="2"/>
        <v>0.1837</v>
      </c>
      <c r="D58" s="31">
        <f>IF($A$12=$A$16,' на весь срок'!I45,'льготный период'!H46)</f>
        <v>2.099999999999997E-2</v>
      </c>
      <c r="E58" s="31">
        <f>IF($A$12=$A$16,' на весь срок'!C45,'льготный период'!B46)</f>
        <v>4.0999999999999974E-2</v>
      </c>
      <c r="F58" s="31">
        <f>' на весь срок'!S45</f>
        <v>0.12899999999999998</v>
      </c>
      <c r="G58" s="31">
        <f>' на весь срок'!N47</f>
        <v>0.12699999999999997</v>
      </c>
      <c r="H58" s="31">
        <f>' на весь срок'!W45</f>
        <v>0.13299999999999995</v>
      </c>
      <c r="I58" s="66">
        <f t="shared" si="10"/>
        <v>0.32229999999999998</v>
      </c>
      <c r="J58" s="31">
        <f>' на весь срок'!J45</f>
        <v>0.32229999999999998</v>
      </c>
      <c r="K58" s="31">
        <f>' на весь срок'!D45</f>
        <v>0.25929999999999997</v>
      </c>
      <c r="L58" s="31">
        <f>' на весь срок'!T45</f>
        <v>0.19239999999999999</v>
      </c>
      <c r="M58" s="31">
        <f>' на весь срок'!O47</f>
        <v>0.16120000000000001</v>
      </c>
      <c r="N58" s="31">
        <f>' на весь срок'!X45</f>
        <v>0.15609999999999999</v>
      </c>
      <c r="O58" s="66">
        <f t="shared" si="11"/>
        <v>6.7100000000000007E-2</v>
      </c>
      <c r="P58" s="31">
        <f>'льготный период'!I46</f>
        <v>6.7100000000000007E-2</v>
      </c>
      <c r="Q58" s="31">
        <f>'льготный период'!C46</f>
        <v>6.4899999999999999E-2</v>
      </c>
      <c r="R58" s="31">
        <f>'льготный период'!U46</f>
        <v>4.5699999999999998E-2</v>
      </c>
      <c r="S58" s="31">
        <f>'льготный период'!O47</f>
        <v>3.7199999999999997E-2</v>
      </c>
      <c r="T58" s="31">
        <f>'льготный период'!AA46</f>
        <v>3.6900000000000002E-2</v>
      </c>
      <c r="U58" s="66">
        <f t="shared" si="12"/>
        <v>0.1012</v>
      </c>
      <c r="V58" s="31">
        <f>'льготный период'!J46</f>
        <v>0.1012</v>
      </c>
      <c r="W58" s="31">
        <f>'льготный период'!D46</f>
        <v>9.9599999999999994E-2</v>
      </c>
      <c r="X58" s="31">
        <f>'льготный период'!V46</f>
        <v>8.6599999999999996E-2</v>
      </c>
      <c r="Y58" s="31">
        <f>'льготный период'!P47</f>
        <v>7.0499999999999993E-2</v>
      </c>
      <c r="Z58" s="31">
        <f>'льготный период'!AB46</f>
        <v>7.0000000000000007E-2</v>
      </c>
      <c r="AA58" s="66">
        <f t="shared" si="13"/>
        <v>0.1837</v>
      </c>
      <c r="AB58" s="31">
        <f>'льготный период'!K46</f>
        <v>0.1837</v>
      </c>
      <c r="AC58" s="67">
        <f t="shared" si="5"/>
        <v>0.25929999999999997</v>
      </c>
      <c r="AD58" s="31">
        <f>'льготный период'!W46</f>
        <v>0.1729</v>
      </c>
      <c r="AE58" s="31">
        <f>'льготный период'!Q47</f>
        <v>0.14099999999999999</v>
      </c>
      <c r="AF58" s="31">
        <f>'льготный период'!AC46</f>
        <v>0.1401</v>
      </c>
    </row>
    <row r="59" spans="1:32" x14ac:dyDescent="0.25">
      <c r="A59" s="28">
        <f t="shared" si="14"/>
        <v>41</v>
      </c>
      <c r="B59" s="66">
        <f t="shared" si="9"/>
        <v>1.9999999999999969E-2</v>
      </c>
      <c r="C59" s="66">
        <f t="shared" si="2"/>
        <v>0.1875</v>
      </c>
      <c r="D59" s="31">
        <f>IF($A$12=$A$16,' на весь срок'!I46,'льготный период'!H47)</f>
        <v>1.9999999999999969E-2</v>
      </c>
      <c r="E59" s="31">
        <f>IF($A$12=$A$16,' на весь срок'!C46,'льготный период'!B47)</f>
        <v>3.9999999999999973E-2</v>
      </c>
      <c r="F59" s="31">
        <f>' на весь срок'!S46</f>
        <v>0.12799999999999997</v>
      </c>
      <c r="G59" s="31">
        <f>' на весь срок'!N48</f>
        <v>0.12599999999999997</v>
      </c>
      <c r="H59" s="31">
        <f>' на весь срок'!W46</f>
        <v>0.13199999999999995</v>
      </c>
      <c r="I59" s="66">
        <f t="shared" si="10"/>
        <v>0.32900000000000001</v>
      </c>
      <c r="J59" s="31">
        <f>' на весь срок'!J46</f>
        <v>0.32900000000000001</v>
      </c>
      <c r="K59" s="31">
        <f>' на весь срок'!D46</f>
        <v>0.26479999999999998</v>
      </c>
      <c r="L59" s="31">
        <f>' на весь срок'!T46</f>
        <v>0.19639999999999999</v>
      </c>
      <c r="M59" s="31">
        <f>' на весь срок'!O48</f>
        <v>0.1651</v>
      </c>
      <c r="N59" s="31">
        <f>' на весь срок'!X46</f>
        <v>0.16009999999999999</v>
      </c>
      <c r="O59" s="66">
        <f>HLOOKUP($A$6,$P$19:$T$112,A59,0)</f>
        <v>6.8000000000000005E-2</v>
      </c>
      <c r="P59" s="31">
        <f>'льготный период'!I47</f>
        <v>6.8000000000000005E-2</v>
      </c>
      <c r="Q59" s="31">
        <f>'льготный период'!C47</f>
        <v>6.5799999999999997E-2</v>
      </c>
      <c r="R59" s="31">
        <f>'льготный период'!U47</f>
        <v>4.6699999999999998E-2</v>
      </c>
      <c r="S59" s="31">
        <f>'льготный период'!O48</f>
        <v>3.8199999999999998E-2</v>
      </c>
      <c r="T59" s="31">
        <f>'льготный период'!AA47</f>
        <v>3.7900000000000003E-2</v>
      </c>
      <c r="U59" s="66">
        <f t="shared" si="12"/>
        <v>0.10299999999999999</v>
      </c>
      <c r="V59" s="31">
        <f>'льготный период'!J47</f>
        <v>0.10299999999999999</v>
      </c>
      <c r="W59" s="31">
        <f>'льготный период'!D47</f>
        <v>0.1014</v>
      </c>
      <c r="X59" s="31">
        <f>'льготный период'!V47</f>
        <v>8.8400000000000006E-2</v>
      </c>
      <c r="Y59" s="31">
        <f>'льготный период'!P48</f>
        <v>7.2300000000000003E-2</v>
      </c>
      <c r="Z59" s="31">
        <f>'льготный период'!AB47</f>
        <v>7.1800000000000003E-2</v>
      </c>
      <c r="AA59" s="66">
        <f t="shared" si="13"/>
        <v>0.1875</v>
      </c>
      <c r="AB59" s="31">
        <f>'льготный период'!K47</f>
        <v>0.1875</v>
      </c>
      <c r="AC59" s="67">
        <f t="shared" si="5"/>
        <v>0.26479999999999998</v>
      </c>
      <c r="AD59" s="31">
        <f>'льготный период'!W47</f>
        <v>0.17649999999999999</v>
      </c>
      <c r="AE59" s="31">
        <f>'льготный период'!Q48</f>
        <v>0.14460000000000001</v>
      </c>
      <c r="AF59" s="31">
        <f>'льготный период'!AC47</f>
        <v>0.14369999999999999</v>
      </c>
    </row>
    <row r="60" spans="1:32" x14ac:dyDescent="0.25">
      <c r="A60" s="28">
        <f t="shared" si="14"/>
        <v>42</v>
      </c>
      <c r="B60" s="66" t="str">
        <f t="shared" si="9"/>
        <v/>
      </c>
      <c r="C60" s="66">
        <f t="shared" si="2"/>
        <v>0</v>
      </c>
      <c r="D60" s="31">
        <f>IF($A$12=$A$16,' на весь срок'!I47,'льготный период'!H48)</f>
        <v>0</v>
      </c>
      <c r="E60" s="31">
        <f>IF($A$12=$A$16,' на весь срок'!C47,'льготный период'!B48)</f>
        <v>0</v>
      </c>
      <c r="F60" s="31">
        <f>' на весь срок'!S47</f>
        <v>0.12699999999999997</v>
      </c>
      <c r="G60" s="31">
        <f>' на весь срок'!N49</f>
        <v>0.12499999999999997</v>
      </c>
      <c r="H60" s="31">
        <f>' на весь срок'!W47</f>
        <v>0.13099999999999995</v>
      </c>
      <c r="I60" s="66">
        <f t="shared" si="10"/>
        <v>0</v>
      </c>
      <c r="J60" s="31">
        <f>' на весь срок'!J47</f>
        <v>0</v>
      </c>
      <c r="K60" s="31">
        <f>' на весь срок'!D47</f>
        <v>0</v>
      </c>
      <c r="L60" s="31">
        <f>' на весь срок'!T47</f>
        <v>0.20039999999999999</v>
      </c>
      <c r="M60" s="31">
        <f>' на весь срок'!O49</f>
        <v>0.1691</v>
      </c>
      <c r="N60" s="31">
        <f>' на весь срок'!X47</f>
        <v>0.1641</v>
      </c>
      <c r="O60" s="66">
        <f t="shared" si="11"/>
        <v>0</v>
      </c>
      <c r="P60" s="31">
        <f>'льготный период'!I48</f>
        <v>0</v>
      </c>
      <c r="Q60" s="31">
        <f>'льготный период'!C48</f>
        <v>0</v>
      </c>
      <c r="R60" s="31">
        <f>'льготный период'!U48</f>
        <v>4.7699999999999999E-2</v>
      </c>
      <c r="S60" s="31">
        <f>'льготный период'!O49</f>
        <v>3.9199999999999999E-2</v>
      </c>
      <c r="T60" s="31">
        <f>'льготный период'!AA48</f>
        <v>3.8899999999999997E-2</v>
      </c>
      <c r="U60" s="66">
        <f t="shared" si="12"/>
        <v>0</v>
      </c>
      <c r="V60" s="31">
        <f>'льготный период'!J48</f>
        <v>0</v>
      </c>
      <c r="W60" s="31">
        <f>'льготный период'!D48</f>
        <v>0</v>
      </c>
      <c r="X60" s="31">
        <f>'льготный период'!V48</f>
        <v>9.0300000000000005E-2</v>
      </c>
      <c r="Y60" s="31">
        <f>'льготный период'!P49</f>
        <v>7.4200000000000002E-2</v>
      </c>
      <c r="Z60" s="31">
        <f>'льготный период'!AB48</f>
        <v>7.3599999999999999E-2</v>
      </c>
      <c r="AA60" s="66">
        <f t="shared" si="13"/>
        <v>0</v>
      </c>
      <c r="AB60" s="31">
        <f>'льготный период'!K48</f>
        <v>0</v>
      </c>
      <c r="AC60" s="67">
        <f t="shared" si="5"/>
        <v>0</v>
      </c>
      <c r="AD60" s="31">
        <f>'льготный период'!W48</f>
        <v>0.18010000000000001</v>
      </c>
      <c r="AE60" s="31">
        <f>'льготный период'!Q49</f>
        <v>0.14810000000000001</v>
      </c>
      <c r="AF60" s="31">
        <f>'льготный период'!AC48</f>
        <v>0.14729999999999999</v>
      </c>
    </row>
    <row r="61" spans="1:32" x14ac:dyDescent="0.25">
      <c r="A61" s="28">
        <f t="shared" si="14"/>
        <v>43</v>
      </c>
      <c r="B61" s="66" t="str">
        <f t="shared" si="9"/>
        <v/>
      </c>
      <c r="C61" s="66">
        <f t="shared" si="2"/>
        <v>0</v>
      </c>
      <c r="D61" s="31">
        <f>IF($A$12=$A$16,' на весь срок'!I48,'льготный период'!H49)</f>
        <v>0</v>
      </c>
      <c r="E61" s="31">
        <f>IF($A$12=$A$16,' на весь срок'!C48,'льготный период'!B49)</f>
        <v>0</v>
      </c>
      <c r="F61" s="31">
        <f>' на весь срок'!S48</f>
        <v>0.12599999999999997</v>
      </c>
      <c r="G61" s="31">
        <f>' на весь срок'!N50</f>
        <v>0.12399999999999997</v>
      </c>
      <c r="H61" s="31">
        <f>' на весь срок'!W48</f>
        <v>0.12999999999999995</v>
      </c>
      <c r="I61" s="66">
        <f t="shared" si="10"/>
        <v>0</v>
      </c>
      <c r="J61" s="31">
        <f>' на весь срок'!J48</f>
        <v>0</v>
      </c>
      <c r="K61" s="31">
        <f>' на весь срок'!D48</f>
        <v>0</v>
      </c>
      <c r="L61" s="31">
        <f>' на весь срок'!T48</f>
        <v>0.2044</v>
      </c>
      <c r="M61" s="31">
        <f>' на весь срок'!O50</f>
        <v>0.17299999999999999</v>
      </c>
      <c r="N61" s="31">
        <f>' на весь срок'!X48</f>
        <v>0.1681</v>
      </c>
      <c r="O61" s="66">
        <f t="shared" si="11"/>
        <v>0</v>
      </c>
      <c r="P61" s="31">
        <f>'льготный период'!I49</f>
        <v>0</v>
      </c>
      <c r="Q61" s="31">
        <f>'льготный период'!C49</f>
        <v>0</v>
      </c>
      <c r="R61" s="31">
        <f>'льготный период'!U49</f>
        <v>4.87E-2</v>
      </c>
      <c r="S61" s="31">
        <f>'льготный период'!O50</f>
        <v>4.02E-2</v>
      </c>
      <c r="T61" s="31">
        <f>'льготный период'!AA49</f>
        <v>3.9899999999999998E-2</v>
      </c>
      <c r="U61" s="66">
        <f t="shared" si="12"/>
        <v>0</v>
      </c>
      <c r="V61" s="31">
        <f>'льготный период'!J49</f>
        <v>0</v>
      </c>
      <c r="W61" s="31">
        <f>'льготный период'!D49</f>
        <v>0</v>
      </c>
      <c r="X61" s="31">
        <f>'льготный период'!V49</f>
        <v>9.2100000000000001E-2</v>
      </c>
      <c r="Y61" s="31">
        <f>'льготный период'!P50</f>
        <v>7.5999999999999998E-2</v>
      </c>
      <c r="Z61" s="31">
        <f>'льготный период'!AB49</f>
        <v>7.5499999999999998E-2</v>
      </c>
      <c r="AA61" s="66">
        <f t="shared" si="13"/>
        <v>0</v>
      </c>
      <c r="AB61" s="31">
        <f>'льготный период'!K49</f>
        <v>0</v>
      </c>
      <c r="AC61" s="67">
        <f t="shared" si="5"/>
        <v>0</v>
      </c>
      <c r="AD61" s="31">
        <f>'льготный период'!W49</f>
        <v>0.1837</v>
      </c>
      <c r="AE61" s="31">
        <f>'льготный период'!Q50</f>
        <v>0.1517</v>
      </c>
      <c r="AF61" s="31">
        <f>'льготный период'!AC49</f>
        <v>0.15090000000000001</v>
      </c>
    </row>
    <row r="62" spans="1:32" x14ac:dyDescent="0.25">
      <c r="A62" s="28">
        <f t="shared" si="14"/>
        <v>44</v>
      </c>
      <c r="B62" s="66" t="str">
        <f t="shared" si="9"/>
        <v/>
      </c>
      <c r="C62" s="66">
        <f t="shared" si="2"/>
        <v>0</v>
      </c>
      <c r="D62" s="31">
        <f>IF($A$12=$A$16,' на весь срок'!I49,'льготный период'!H50)</f>
        <v>0</v>
      </c>
      <c r="E62" s="31">
        <f>IF($A$12=$A$16,' на весь срок'!C49,'льготный период'!B50)</f>
        <v>0</v>
      </c>
      <c r="F62" s="31">
        <f>' на весь срок'!S49</f>
        <v>0.12499999999999997</v>
      </c>
      <c r="G62" s="31">
        <f>' на весь срок'!N51</f>
        <v>0.12299999999999997</v>
      </c>
      <c r="H62" s="31">
        <f>' на весь срок'!W49</f>
        <v>0.12899999999999995</v>
      </c>
      <c r="I62" s="66">
        <f t="shared" si="10"/>
        <v>0</v>
      </c>
      <c r="J62" s="31">
        <f>' на весь срок'!J49</f>
        <v>0</v>
      </c>
      <c r="K62" s="31">
        <f>' на весь срок'!D49</f>
        <v>0</v>
      </c>
      <c r="L62" s="31">
        <f>' на весь срок'!T49</f>
        <v>0.20830000000000001</v>
      </c>
      <c r="M62" s="31">
        <f>' на весь срок'!O51</f>
        <v>0.1769</v>
      </c>
      <c r="N62" s="31">
        <f>' на весь срок'!X49</f>
        <v>0.1721</v>
      </c>
      <c r="O62" s="66">
        <f t="shared" si="11"/>
        <v>0</v>
      </c>
      <c r="P62" s="31">
        <f>'льготный период'!I50</f>
        <v>0</v>
      </c>
      <c r="Q62" s="31">
        <f>'льготный период'!C50</f>
        <v>0</v>
      </c>
      <c r="R62" s="31">
        <f>'льготный период'!U50</f>
        <v>4.9700000000000001E-2</v>
      </c>
      <c r="S62" s="31">
        <f>'льготный период'!O51</f>
        <v>4.1099999999999998E-2</v>
      </c>
      <c r="T62" s="31">
        <f>'льготный период'!AA50</f>
        <v>4.0800000000000003E-2</v>
      </c>
      <c r="U62" s="66">
        <f t="shared" si="12"/>
        <v>0</v>
      </c>
      <c r="V62" s="31">
        <f>'льготный период'!J50</f>
        <v>0</v>
      </c>
      <c r="W62" s="31">
        <f>'льготный период'!D50</f>
        <v>0</v>
      </c>
      <c r="X62" s="31">
        <f>'льготный период'!V50</f>
        <v>9.4E-2</v>
      </c>
      <c r="Y62" s="31">
        <f>'льготный период'!P51</f>
        <v>7.7799999999999994E-2</v>
      </c>
      <c r="Z62" s="31">
        <f>'льготный период'!AB50</f>
        <v>7.7299999999999994E-2</v>
      </c>
      <c r="AA62" s="66">
        <f t="shared" si="13"/>
        <v>0</v>
      </c>
      <c r="AB62" s="31">
        <f>'льготный период'!K50</f>
        <v>0</v>
      </c>
      <c r="AC62" s="67">
        <f t="shared" si="5"/>
        <v>0</v>
      </c>
      <c r="AD62" s="31">
        <f>'льготный период'!W50</f>
        <v>0.18720000000000001</v>
      </c>
      <c r="AE62" s="31">
        <f>'льготный период'!Q51</f>
        <v>0.15529999999999999</v>
      </c>
      <c r="AF62" s="31">
        <f>'льготный период'!AC50</f>
        <v>0.1545</v>
      </c>
    </row>
    <row r="63" spans="1:32" x14ac:dyDescent="0.25">
      <c r="A63" s="28">
        <f t="shared" si="14"/>
        <v>45</v>
      </c>
      <c r="B63" s="66" t="str">
        <f t="shared" si="9"/>
        <v/>
      </c>
      <c r="C63" s="66">
        <f t="shared" si="2"/>
        <v>0</v>
      </c>
      <c r="D63" s="31">
        <f>IF($A$12=$A$16,' на весь срок'!I50,'льготный период'!H51)</f>
        <v>0</v>
      </c>
      <c r="E63" s="31">
        <f>IF($A$12=$A$16,' на весь срок'!C50,'льготный период'!B51)</f>
        <v>0</v>
      </c>
      <c r="F63" s="31">
        <f>' на весь срок'!S50</f>
        <v>0.12399999999999997</v>
      </c>
      <c r="G63" s="31">
        <f>' на весь срок'!N52</f>
        <v>0.12199999999999997</v>
      </c>
      <c r="H63" s="31">
        <f>' на весь срок'!W50</f>
        <v>0.12799999999999995</v>
      </c>
      <c r="I63" s="66">
        <f t="shared" si="10"/>
        <v>0</v>
      </c>
      <c r="J63" s="31">
        <f>' на весь срок'!J50</f>
        <v>0</v>
      </c>
      <c r="K63" s="31">
        <f>' на весь срок'!D50</f>
        <v>0</v>
      </c>
      <c r="L63" s="31">
        <f>' на весь срок'!T50</f>
        <v>0.21229999999999999</v>
      </c>
      <c r="M63" s="31">
        <f>' на весь срок'!O52</f>
        <v>0.18090000000000001</v>
      </c>
      <c r="N63" s="31">
        <f>' на весь срок'!X50</f>
        <v>0.17610000000000001</v>
      </c>
      <c r="O63" s="66">
        <f t="shared" si="11"/>
        <v>0</v>
      </c>
      <c r="P63" s="31">
        <f>'льготный период'!I51</f>
        <v>0</v>
      </c>
      <c r="Q63" s="31">
        <f>'льготный период'!C51</f>
        <v>0</v>
      </c>
      <c r="R63" s="31">
        <f>'льготный период'!U51</f>
        <v>5.0700000000000002E-2</v>
      </c>
      <c r="S63" s="31">
        <f>'льготный период'!O52</f>
        <v>4.2099999999999999E-2</v>
      </c>
      <c r="T63" s="31">
        <f>'льготный период'!AA51</f>
        <v>4.1799999999999997E-2</v>
      </c>
      <c r="U63" s="66">
        <f t="shared" si="12"/>
        <v>0</v>
      </c>
      <c r="V63" s="31">
        <f>'льготный период'!J51</f>
        <v>0</v>
      </c>
      <c r="W63" s="31">
        <f>'льготный период'!D51</f>
        <v>0</v>
      </c>
      <c r="X63" s="31">
        <f>'льготный период'!V51</f>
        <v>9.5799999999999996E-2</v>
      </c>
      <c r="Y63" s="31">
        <f>'льготный период'!P52</f>
        <v>7.9600000000000004E-2</v>
      </c>
      <c r="Z63" s="31">
        <f>'льготный период'!AB51</f>
        <v>7.9200000000000007E-2</v>
      </c>
      <c r="AA63" s="66">
        <f t="shared" si="13"/>
        <v>0</v>
      </c>
      <c r="AB63" s="31">
        <f>'льготный период'!K51</f>
        <v>0</v>
      </c>
      <c r="AC63" s="67">
        <f t="shared" si="5"/>
        <v>0</v>
      </c>
      <c r="AD63" s="31">
        <f>'льготный период'!W51</f>
        <v>0.1908</v>
      </c>
      <c r="AE63" s="31">
        <f>'льготный период'!Q52</f>
        <v>0.1588</v>
      </c>
      <c r="AF63" s="31">
        <f>'льготный период'!AC51</f>
        <v>0.15809999999999999</v>
      </c>
    </row>
    <row r="64" spans="1:32" x14ac:dyDescent="0.25">
      <c r="A64" s="28">
        <f t="shared" si="14"/>
        <v>46</v>
      </c>
      <c r="B64" s="66" t="str">
        <f t="shared" si="9"/>
        <v/>
      </c>
      <c r="C64" s="66">
        <f t="shared" si="2"/>
        <v>0</v>
      </c>
      <c r="D64" s="31">
        <f>IF($A$12=$A$16,' на весь срок'!I51,'льготный период'!H52)</f>
        <v>0</v>
      </c>
      <c r="E64" s="31">
        <f>IF($A$12=$A$16,' на весь срок'!C51,'льготный период'!B52)</f>
        <v>0</v>
      </c>
      <c r="F64" s="31">
        <f>' на весь срок'!S51</f>
        <v>0.12299999999999997</v>
      </c>
      <c r="G64" s="31">
        <f>' на весь срок'!N53</f>
        <v>0.12099999999999997</v>
      </c>
      <c r="H64" s="31">
        <f>' на весь срок'!W51</f>
        <v>0.12699999999999995</v>
      </c>
      <c r="I64" s="66">
        <f t="shared" si="10"/>
        <v>0</v>
      </c>
      <c r="J64" s="31">
        <f>' на весь срок'!J51</f>
        <v>0</v>
      </c>
      <c r="K64" s="31">
        <f>' на весь срок'!D51</f>
        <v>0</v>
      </c>
      <c r="L64" s="31">
        <f>' на весь срок'!T51</f>
        <v>0.2162</v>
      </c>
      <c r="M64" s="31">
        <f>' на весь срок'!O53</f>
        <v>0.18479999999999999</v>
      </c>
      <c r="N64" s="31">
        <f>' на весь срок'!X51</f>
        <v>0.18</v>
      </c>
      <c r="O64" s="66">
        <f t="shared" si="11"/>
        <v>0</v>
      </c>
      <c r="P64" s="31">
        <f>'льготный период'!I52</f>
        <v>0</v>
      </c>
      <c r="Q64" s="31">
        <f>'льготный период'!C52</f>
        <v>0</v>
      </c>
      <c r="R64" s="31">
        <f>'льготный период'!U52</f>
        <v>5.16E-2</v>
      </c>
      <c r="S64" s="31">
        <f>'льготный период'!O53</f>
        <v>4.3099999999999999E-2</v>
      </c>
      <c r="T64" s="31">
        <f>'льготный период'!AA52</f>
        <v>4.2799999999999998E-2</v>
      </c>
      <c r="U64" s="66">
        <f t="shared" si="12"/>
        <v>0</v>
      </c>
      <c r="V64" s="31">
        <f>'льготный период'!J52</f>
        <v>0</v>
      </c>
      <c r="W64" s="31">
        <f>'льготный период'!D52</f>
        <v>0</v>
      </c>
      <c r="X64" s="31">
        <f>'льготный период'!V52</f>
        <v>9.7600000000000006E-2</v>
      </c>
      <c r="Y64" s="31">
        <f>'льготный период'!P53</f>
        <v>8.1500000000000003E-2</v>
      </c>
      <c r="Z64" s="31">
        <f>'льготный период'!AB52</f>
        <v>8.1000000000000003E-2</v>
      </c>
      <c r="AA64" s="66">
        <f t="shared" si="13"/>
        <v>0</v>
      </c>
      <c r="AB64" s="31">
        <f>'льготный период'!K52</f>
        <v>0</v>
      </c>
      <c r="AC64" s="67">
        <f t="shared" si="5"/>
        <v>0</v>
      </c>
      <c r="AD64" s="31">
        <f>'льготный период'!W52</f>
        <v>0.19439999999999999</v>
      </c>
      <c r="AE64" s="31">
        <f>'льготный период'!Q53</f>
        <v>0.16239999999999999</v>
      </c>
      <c r="AF64" s="31">
        <f>'льготный период'!AC52</f>
        <v>0.16170000000000001</v>
      </c>
    </row>
    <row r="65" spans="1:32" x14ac:dyDescent="0.25">
      <c r="A65" s="28">
        <f t="shared" si="14"/>
        <v>47</v>
      </c>
      <c r="B65" s="66" t="str">
        <f t="shared" si="9"/>
        <v/>
      </c>
      <c r="C65" s="66">
        <f t="shared" si="2"/>
        <v>0</v>
      </c>
      <c r="D65" s="31">
        <f>IF($A$12=$A$16,' на весь срок'!I52,'льготный период'!H53)</f>
        <v>0</v>
      </c>
      <c r="E65" s="31">
        <f>IF($A$12=$A$16,' на весь срок'!C52,'льготный период'!B53)</f>
        <v>0</v>
      </c>
      <c r="F65" s="31">
        <f>' на весь срок'!S52</f>
        <v>0.12199999999999997</v>
      </c>
      <c r="G65" s="31">
        <f>' на весь срок'!N54</f>
        <v>0.11999999999999997</v>
      </c>
      <c r="H65" s="31">
        <f>' на весь срок'!W52</f>
        <v>0.12599999999999995</v>
      </c>
      <c r="I65" s="66">
        <f t="shared" si="10"/>
        <v>0</v>
      </c>
      <c r="J65" s="31">
        <f>' на весь срок'!J52</f>
        <v>0</v>
      </c>
      <c r="K65" s="31">
        <f>' на весь срок'!D52</f>
        <v>0</v>
      </c>
      <c r="L65" s="31">
        <f>' на весь срок'!T52</f>
        <v>0.22009999999999999</v>
      </c>
      <c r="M65" s="31">
        <f>' на весь срок'!O54</f>
        <v>0.18870000000000001</v>
      </c>
      <c r="N65" s="31">
        <f>' на весь срок'!X52</f>
        <v>0.184</v>
      </c>
      <c r="O65" s="66">
        <f t="shared" si="11"/>
        <v>0</v>
      </c>
      <c r="P65" s="31">
        <f>'льготный период'!I53</f>
        <v>0</v>
      </c>
      <c r="Q65" s="31">
        <f>'льготный период'!C53</f>
        <v>0</v>
      </c>
      <c r="R65" s="31">
        <f>'льготный период'!U53</f>
        <v>5.2600000000000001E-2</v>
      </c>
      <c r="S65" s="31">
        <f>'льготный период'!O54</f>
        <v>4.3999999999999997E-2</v>
      </c>
      <c r="T65" s="31">
        <f>'льготный период'!AA53</f>
        <v>4.3799999999999999E-2</v>
      </c>
      <c r="U65" s="66">
        <f t="shared" si="12"/>
        <v>0</v>
      </c>
      <c r="V65" s="31">
        <f>'льготный период'!J53</f>
        <v>0</v>
      </c>
      <c r="W65" s="31">
        <f>'льготный период'!D53</f>
        <v>0</v>
      </c>
      <c r="X65" s="31">
        <f>'льготный период'!V53</f>
        <v>9.9500000000000005E-2</v>
      </c>
      <c r="Y65" s="31">
        <f>'льготный период'!P54</f>
        <v>8.3299999999999999E-2</v>
      </c>
      <c r="Z65" s="31">
        <f>'льготный период'!AB53</f>
        <v>8.2799999999999999E-2</v>
      </c>
      <c r="AA65" s="66">
        <f t="shared" si="13"/>
        <v>0</v>
      </c>
      <c r="AB65" s="31">
        <f>'льготный период'!K53</f>
        <v>0</v>
      </c>
      <c r="AC65" s="67">
        <f t="shared" si="5"/>
        <v>0</v>
      </c>
      <c r="AD65" s="31">
        <f>'льготный период'!W53</f>
        <v>0.19800000000000001</v>
      </c>
      <c r="AE65" s="31">
        <f>'льготный период'!Q54</f>
        <v>0.16589999999999999</v>
      </c>
      <c r="AF65" s="31">
        <f>'льготный период'!AC53</f>
        <v>0.1653</v>
      </c>
    </row>
    <row r="66" spans="1:32" x14ac:dyDescent="0.25">
      <c r="A66" s="28">
        <f t="shared" si="14"/>
        <v>48</v>
      </c>
      <c r="B66" s="66" t="str">
        <f t="shared" si="9"/>
        <v/>
      </c>
      <c r="C66" s="66">
        <f t="shared" si="2"/>
        <v>0</v>
      </c>
      <c r="D66" s="31">
        <f>IF($A$12=$A$16,' на весь срок'!I53,'льготный период'!H54)</f>
        <v>0</v>
      </c>
      <c r="E66" s="31">
        <f>IF($A$12=$A$16,' на весь срок'!C53,'льготный период'!B54)</f>
        <v>0</v>
      </c>
      <c r="F66" s="31">
        <f>' на весь срок'!S53</f>
        <v>0.12099999999999997</v>
      </c>
      <c r="G66" s="31">
        <f>' на весь срок'!N55</f>
        <v>0.11899999999999997</v>
      </c>
      <c r="H66" s="31">
        <f>' на весь срок'!W53</f>
        <v>0.12499999999999994</v>
      </c>
      <c r="I66" s="66">
        <f t="shared" si="10"/>
        <v>0</v>
      </c>
      <c r="J66" s="31">
        <f>' на весь срок'!J53</f>
        <v>0</v>
      </c>
      <c r="K66" s="31">
        <f>' на весь срок'!D53</f>
        <v>0</v>
      </c>
      <c r="L66" s="31">
        <f>' на весь срок'!T53</f>
        <v>0.22409999999999999</v>
      </c>
      <c r="M66" s="31">
        <f>' на весь срок'!O55</f>
        <v>0.19259999999999999</v>
      </c>
      <c r="N66" s="31">
        <f>' на весь срок'!X53</f>
        <v>0.188</v>
      </c>
      <c r="O66" s="66">
        <f t="shared" si="11"/>
        <v>0</v>
      </c>
      <c r="P66" s="31">
        <f>'льготный период'!I54</f>
        <v>0</v>
      </c>
      <c r="Q66" s="31">
        <f>'льготный период'!C54</f>
        <v>0</v>
      </c>
      <c r="R66" s="31">
        <f>'льготный период'!U54</f>
        <v>5.3600000000000002E-2</v>
      </c>
      <c r="S66" s="31">
        <f>'льготный период'!O55</f>
        <v>4.4999999999999998E-2</v>
      </c>
      <c r="T66" s="31">
        <f>'льготный период'!AA54</f>
        <v>4.48E-2</v>
      </c>
      <c r="U66" s="66">
        <f t="shared" si="12"/>
        <v>0</v>
      </c>
      <c r="V66" s="31">
        <f>'льготный период'!J54</f>
        <v>0</v>
      </c>
      <c r="W66" s="31">
        <f>'льготный период'!D54</f>
        <v>0</v>
      </c>
      <c r="X66" s="31">
        <f>'льготный период'!V54</f>
        <v>0.1013</v>
      </c>
      <c r="Y66" s="31">
        <f>'льготный период'!P55</f>
        <v>8.5099999999999995E-2</v>
      </c>
      <c r="Z66" s="31">
        <f>'льготный период'!AB54</f>
        <v>8.4699999999999998E-2</v>
      </c>
      <c r="AA66" s="66">
        <f t="shared" si="13"/>
        <v>0</v>
      </c>
      <c r="AB66" s="31">
        <f>'льготный период'!K54</f>
        <v>0</v>
      </c>
      <c r="AC66" s="67">
        <f t="shared" si="5"/>
        <v>0</v>
      </c>
      <c r="AD66" s="31">
        <f>'льготный период'!W54</f>
        <v>0.20150000000000001</v>
      </c>
      <c r="AE66" s="31">
        <f>'льготный период'!Q55</f>
        <v>0.16950000000000001</v>
      </c>
      <c r="AF66" s="31">
        <f>'льготный период'!AC54</f>
        <v>0.16889999999999999</v>
      </c>
    </row>
    <row r="67" spans="1:32" x14ac:dyDescent="0.25">
      <c r="A67" s="28">
        <f t="shared" si="14"/>
        <v>49</v>
      </c>
      <c r="B67" s="66" t="str">
        <f t="shared" si="9"/>
        <v/>
      </c>
      <c r="C67" s="66">
        <f t="shared" si="2"/>
        <v>0</v>
      </c>
      <c r="D67" s="31">
        <f>IF($A$12=$A$16,' на весь срок'!I54,'льготный период'!H55)</f>
        <v>0</v>
      </c>
      <c r="E67" s="31">
        <f>IF($A$12=$A$16,' на весь срок'!C54,'льготный период'!B55)</f>
        <v>0</v>
      </c>
      <c r="F67" s="31">
        <f>' на весь срок'!S54</f>
        <v>0.11999999999999997</v>
      </c>
      <c r="G67" s="31">
        <f>' на весь срок'!N56</f>
        <v>0.11799999999999997</v>
      </c>
      <c r="H67" s="31">
        <f>' на весь срок'!W54</f>
        <v>0.12399999999999994</v>
      </c>
      <c r="I67" s="66">
        <f t="shared" si="10"/>
        <v>0</v>
      </c>
      <c r="J67" s="31">
        <f>' на весь срок'!J54</f>
        <v>0</v>
      </c>
      <c r="K67" s="31">
        <f>' на весь срок'!D54</f>
        <v>0</v>
      </c>
      <c r="L67" s="31">
        <f>' на весь срок'!T54</f>
        <v>0.22800000000000001</v>
      </c>
      <c r="M67" s="31">
        <f>' на весь срок'!O56</f>
        <v>0.19650000000000001</v>
      </c>
      <c r="N67" s="31">
        <f>' на весь срок'!X54</f>
        <v>0.19189999999999999</v>
      </c>
      <c r="O67" s="66">
        <f t="shared" si="11"/>
        <v>0</v>
      </c>
      <c r="P67" s="31">
        <f>'льготный период'!I55</f>
        <v>0</v>
      </c>
      <c r="Q67" s="31">
        <f>'льготный период'!C55</f>
        <v>0</v>
      </c>
      <c r="R67" s="31">
        <f>'льготный период'!U55</f>
        <v>5.4600000000000003E-2</v>
      </c>
      <c r="S67" s="31">
        <f>'льготный период'!O56</f>
        <v>4.5999999999999999E-2</v>
      </c>
      <c r="T67" s="31">
        <f>'льготный период'!AA55</f>
        <v>4.5699999999999998E-2</v>
      </c>
      <c r="U67" s="66">
        <f t="shared" si="12"/>
        <v>0</v>
      </c>
      <c r="V67" s="31">
        <f>'льготный период'!J55</f>
        <v>0</v>
      </c>
      <c r="W67" s="31">
        <f>'льготный период'!D55</f>
        <v>0</v>
      </c>
      <c r="X67" s="31">
        <f>'льготный период'!V55</f>
        <v>0.1031</v>
      </c>
      <c r="Y67" s="31">
        <f>'льготный период'!P56</f>
        <v>8.6900000000000005E-2</v>
      </c>
      <c r="Z67" s="31">
        <f>'льготный период'!AB55</f>
        <v>8.6499999999999994E-2</v>
      </c>
      <c r="AA67" s="66">
        <f t="shared" si="13"/>
        <v>0</v>
      </c>
      <c r="AB67" s="31">
        <f>'льготный период'!K55</f>
        <v>0</v>
      </c>
      <c r="AC67" s="67">
        <f t="shared" si="5"/>
        <v>0</v>
      </c>
      <c r="AD67" s="31">
        <f>'льготный период'!W55</f>
        <v>0.2051</v>
      </c>
      <c r="AE67" s="31">
        <f>'льготный период'!Q56</f>
        <v>0.17299999999999999</v>
      </c>
      <c r="AF67" s="31">
        <f>'льготный период'!AC55</f>
        <v>0.17249999999999999</v>
      </c>
    </row>
    <row r="68" spans="1:32" x14ac:dyDescent="0.25">
      <c r="A68" s="28">
        <f t="shared" si="14"/>
        <v>50</v>
      </c>
      <c r="B68" s="66" t="str">
        <f t="shared" si="9"/>
        <v/>
      </c>
      <c r="C68" s="66">
        <f t="shared" si="2"/>
        <v>0</v>
      </c>
      <c r="D68" s="31">
        <f>IF($A$12=$A$16,' на весь срок'!I55,'льготный период'!H56)</f>
        <v>0</v>
      </c>
      <c r="E68" s="31">
        <f>IF($A$12=$A$16,' на весь срок'!C55,'льготный период'!B56)</f>
        <v>0</v>
      </c>
      <c r="F68" s="31">
        <f>' на весь срок'!S55</f>
        <v>0.11899999999999997</v>
      </c>
      <c r="G68" s="31">
        <f>' на весь срок'!N57</f>
        <v>0.11699999999999997</v>
      </c>
      <c r="H68" s="31">
        <f>' на весь срок'!W55</f>
        <v>0.12299999999999994</v>
      </c>
      <c r="I68" s="66">
        <f t="shared" si="10"/>
        <v>0</v>
      </c>
      <c r="J68" s="31">
        <f>' на весь срок'!J55</f>
        <v>0</v>
      </c>
      <c r="K68" s="31">
        <f>' на весь срок'!D55</f>
        <v>0</v>
      </c>
      <c r="L68" s="31">
        <f>' на весь срок'!T55</f>
        <v>0.2319</v>
      </c>
      <c r="M68" s="31">
        <f>' на весь срок'!O57</f>
        <v>0.20039999999999999</v>
      </c>
      <c r="N68" s="31">
        <f>' на весь срок'!X55</f>
        <v>0.1958</v>
      </c>
      <c r="O68" s="66">
        <f t="shared" si="11"/>
        <v>0</v>
      </c>
      <c r="P68" s="31">
        <f>'льготный период'!I56</f>
        <v>0</v>
      </c>
      <c r="Q68" s="31">
        <f>'льготный период'!C56</f>
        <v>0</v>
      </c>
      <c r="R68" s="31">
        <f>'льготный период'!U56</f>
        <v>5.5599999999999997E-2</v>
      </c>
      <c r="S68" s="31">
        <f>'льготный период'!O57</f>
        <v>4.6899999999999997E-2</v>
      </c>
      <c r="T68" s="31">
        <f>'льготный период'!AA56</f>
        <v>4.6699999999999998E-2</v>
      </c>
      <c r="U68" s="66">
        <f t="shared" si="12"/>
        <v>0</v>
      </c>
      <c r="V68" s="31">
        <f>'льготный период'!J56</f>
        <v>0</v>
      </c>
      <c r="W68" s="31">
        <f>'льготный период'!D56</f>
        <v>0</v>
      </c>
      <c r="X68" s="31">
        <f>'льготный период'!V56</f>
        <v>0.105</v>
      </c>
      <c r="Y68" s="31">
        <f>'льготный период'!P57</f>
        <v>8.8700000000000001E-2</v>
      </c>
      <c r="Z68" s="31">
        <f>'льготный период'!AB56</f>
        <v>8.8300000000000003E-2</v>
      </c>
      <c r="AA68" s="66">
        <f t="shared" si="13"/>
        <v>0</v>
      </c>
      <c r="AB68" s="31">
        <f>'льготный период'!K56</f>
        <v>0</v>
      </c>
      <c r="AC68" s="67">
        <f t="shared" si="5"/>
        <v>0</v>
      </c>
      <c r="AD68" s="31">
        <f>'льготный период'!W56</f>
        <v>0.20860000000000001</v>
      </c>
      <c r="AE68" s="31">
        <f>'льготный период'!Q57</f>
        <v>0.17660000000000001</v>
      </c>
      <c r="AF68" s="31">
        <f>'льготный период'!AC56</f>
        <v>0.17599999999999999</v>
      </c>
    </row>
    <row r="69" spans="1:32" x14ac:dyDescent="0.25">
      <c r="A69" s="28">
        <f t="shared" si="14"/>
        <v>51</v>
      </c>
      <c r="B69" s="66" t="str">
        <f t="shared" si="9"/>
        <v/>
      </c>
      <c r="C69" s="66">
        <f t="shared" si="2"/>
        <v>0</v>
      </c>
      <c r="D69" s="31">
        <f>IF($A$12=$A$16,' на весь срок'!I56,'льготный период'!H57)</f>
        <v>0</v>
      </c>
      <c r="E69" s="31">
        <f>IF($A$12=$A$16,' на весь срок'!C56,'льготный период'!B57)</f>
        <v>0</v>
      </c>
      <c r="F69" s="31">
        <f>' на весь срок'!S56</f>
        <v>0.11799999999999997</v>
      </c>
      <c r="G69" s="31">
        <f>' на весь срок'!N58</f>
        <v>0.11599999999999996</v>
      </c>
      <c r="H69" s="31">
        <f>' на весь срок'!W56</f>
        <v>0.12199999999999994</v>
      </c>
      <c r="I69" s="66">
        <f t="shared" si="10"/>
        <v>0</v>
      </c>
      <c r="J69" s="31">
        <f>' на весь срок'!J56</f>
        <v>0</v>
      </c>
      <c r="K69" s="31">
        <f>' на весь срок'!D56</f>
        <v>0</v>
      </c>
      <c r="L69" s="31">
        <f>' на весь срок'!T56</f>
        <v>0.23580000000000001</v>
      </c>
      <c r="M69" s="31">
        <f>' на весь срок'!O58</f>
        <v>0.20419999999999999</v>
      </c>
      <c r="N69" s="31">
        <f>' на весь срок'!X56</f>
        <v>0.19980000000000001</v>
      </c>
      <c r="O69" s="66">
        <f t="shared" si="11"/>
        <v>0</v>
      </c>
      <c r="P69" s="31">
        <f>'льготный период'!I57</f>
        <v>0</v>
      </c>
      <c r="Q69" s="31">
        <f>'льготный период'!C57</f>
        <v>0</v>
      </c>
      <c r="R69" s="31">
        <f>'льготный период'!U57</f>
        <v>5.6599999999999998E-2</v>
      </c>
      <c r="S69" s="31">
        <f>'льготный период'!O58</f>
        <v>4.7899999999999998E-2</v>
      </c>
      <c r="T69" s="31">
        <f>'льготный период'!AA57</f>
        <v>4.7699999999999999E-2</v>
      </c>
      <c r="U69" s="66">
        <f t="shared" si="12"/>
        <v>0</v>
      </c>
      <c r="V69" s="31">
        <f>'льготный период'!J57</f>
        <v>0</v>
      </c>
      <c r="W69" s="31">
        <f>'льготный период'!D57</f>
        <v>0</v>
      </c>
      <c r="X69" s="31">
        <f>'льготный период'!V57</f>
        <v>0.10680000000000001</v>
      </c>
      <c r="Y69" s="31">
        <f>'льготный период'!P58</f>
        <v>9.0499999999999997E-2</v>
      </c>
      <c r="Z69" s="31">
        <f>'льготный период'!AB57</f>
        <v>9.0200000000000002E-2</v>
      </c>
      <c r="AA69" s="66">
        <f t="shared" si="13"/>
        <v>0</v>
      </c>
      <c r="AB69" s="31">
        <f>'льготный период'!K57</f>
        <v>0</v>
      </c>
      <c r="AC69" s="67">
        <f t="shared" si="5"/>
        <v>0</v>
      </c>
      <c r="AD69" s="31">
        <f>'льготный период'!W57</f>
        <v>0.2122</v>
      </c>
      <c r="AE69" s="31">
        <f>'льготный период'!Q58</f>
        <v>0.18010000000000001</v>
      </c>
      <c r="AF69" s="31">
        <f>'льготный период'!AC57</f>
        <v>0.17960000000000001</v>
      </c>
    </row>
    <row r="70" spans="1:32" x14ac:dyDescent="0.25">
      <c r="A70" s="28">
        <f>A69+1</f>
        <v>52</v>
      </c>
      <c r="B70" s="66" t="str">
        <f t="shared" si="9"/>
        <v/>
      </c>
      <c r="C70" s="66">
        <f t="shared" si="2"/>
        <v>0</v>
      </c>
      <c r="D70" s="31">
        <f>IF($A$12=$A$16,' на весь срок'!I57,'льготный период'!H58)</f>
        <v>0</v>
      </c>
      <c r="E70" s="31">
        <f>IF($A$12=$A$16,' на весь срок'!C57,'льготный период'!B58)</f>
        <v>0</v>
      </c>
      <c r="F70" s="31">
        <f>' на весь срок'!S57</f>
        <v>0.11699999999999997</v>
      </c>
      <c r="G70" s="31">
        <f>' на весь срок'!N59</f>
        <v>0.11499999999999996</v>
      </c>
      <c r="H70" s="31">
        <f>' на весь срок'!W57</f>
        <v>0.12099999999999994</v>
      </c>
      <c r="I70" s="66">
        <f t="shared" si="10"/>
        <v>0</v>
      </c>
      <c r="J70" s="31">
        <f>' на весь срок'!J57</f>
        <v>0</v>
      </c>
      <c r="K70" s="31">
        <f>' на весь срок'!D57</f>
        <v>0</v>
      </c>
      <c r="L70" s="31">
        <f>' на весь срок'!T57</f>
        <v>0.2397</v>
      </c>
      <c r="M70" s="31">
        <f>' на весь срок'!O59</f>
        <v>0.20810000000000001</v>
      </c>
      <c r="N70" s="31">
        <f>' на весь срок'!X57</f>
        <v>0.20369999999999999</v>
      </c>
      <c r="O70" s="66">
        <f t="shared" si="11"/>
        <v>0</v>
      </c>
      <c r="P70" s="31">
        <f>'льготный период'!I58</f>
        <v>0</v>
      </c>
      <c r="Q70" s="31">
        <f>'льготный период'!C58</f>
        <v>0</v>
      </c>
      <c r="R70" s="31">
        <f>'льготный период'!U58</f>
        <v>5.7500000000000002E-2</v>
      </c>
      <c r="S70" s="31">
        <f>'льготный период'!O59</f>
        <v>4.8899999999999999E-2</v>
      </c>
      <c r="T70" s="31">
        <f>'льготный период'!AA58</f>
        <v>4.87E-2</v>
      </c>
      <c r="U70" s="66">
        <f t="shared" si="12"/>
        <v>0</v>
      </c>
      <c r="V70" s="31">
        <f>'льготный период'!J58</f>
        <v>0</v>
      </c>
      <c r="W70" s="31">
        <f>'льготный период'!D58</f>
        <v>0</v>
      </c>
      <c r="X70" s="31">
        <f>'льготный период'!V58</f>
        <v>0.1087</v>
      </c>
      <c r="Y70" s="31">
        <f>'льготный период'!P59</f>
        <v>9.2399999999999996E-2</v>
      </c>
      <c r="Z70" s="31">
        <f>'льготный период'!AB58</f>
        <v>9.1999999999999998E-2</v>
      </c>
      <c r="AA70" s="66">
        <f t="shared" si="13"/>
        <v>0</v>
      </c>
      <c r="AB70" s="31">
        <f>'льготный период'!K58</f>
        <v>0</v>
      </c>
      <c r="AC70" s="67">
        <f t="shared" si="5"/>
        <v>0</v>
      </c>
      <c r="AD70" s="31">
        <f>'льготный период'!W58</f>
        <v>0.2157</v>
      </c>
      <c r="AE70" s="31">
        <f>'льготный период'!Q59</f>
        <v>0.18360000000000001</v>
      </c>
      <c r="AF70" s="31">
        <f>'льготный период'!AC58</f>
        <v>0.18310000000000001</v>
      </c>
    </row>
    <row r="71" spans="1:32" x14ac:dyDescent="0.25">
      <c r="A71" s="28">
        <f t="shared" ref="A71:A83" si="15">A70+1</f>
        <v>53</v>
      </c>
      <c r="B71" s="66" t="str">
        <f t="shared" si="9"/>
        <v/>
      </c>
      <c r="C71" s="66">
        <f t="shared" si="2"/>
        <v>0</v>
      </c>
      <c r="D71" s="31">
        <f>IF($A$12=$A$16,' на весь срок'!I58,'льготный период'!H59)</f>
        <v>0</v>
      </c>
      <c r="E71" s="31">
        <f>IF($A$12=$A$16,' на весь срок'!C58,'льготный период'!B59)</f>
        <v>0</v>
      </c>
      <c r="F71" s="31">
        <f>' на весь срок'!S58</f>
        <v>0.11599999999999996</v>
      </c>
      <c r="G71" s="31">
        <f>' на весь срок'!N60</f>
        <v>0.11399999999999996</v>
      </c>
      <c r="H71" s="31">
        <f>' на весь срок'!W58</f>
        <v>0.11999999999999994</v>
      </c>
      <c r="I71" s="66">
        <f t="shared" si="10"/>
        <v>0</v>
      </c>
      <c r="J71" s="31">
        <f>' на весь срок'!J58</f>
        <v>0</v>
      </c>
      <c r="K71" s="31">
        <f>' на весь срок'!D58</f>
        <v>0</v>
      </c>
      <c r="L71" s="31">
        <f>' на весь срок'!T58</f>
        <v>0.24360000000000001</v>
      </c>
      <c r="M71" s="31">
        <f>' на весь срок'!O60</f>
        <v>0.21199999999999999</v>
      </c>
      <c r="N71" s="31">
        <f>' на весь срок'!X58</f>
        <v>0.20760000000000001</v>
      </c>
      <c r="O71" s="66">
        <f t="shared" si="11"/>
        <v>0</v>
      </c>
      <c r="P71" s="31">
        <f>'льготный период'!I59</f>
        <v>0</v>
      </c>
      <c r="Q71" s="31">
        <f>'льготный период'!C59</f>
        <v>0</v>
      </c>
      <c r="R71" s="31">
        <f>'льготный период'!U59</f>
        <v>5.8500000000000003E-2</v>
      </c>
      <c r="S71" s="31">
        <f>'льготный период'!O60</f>
        <v>4.99E-2</v>
      </c>
      <c r="T71" s="31">
        <f>'льготный период'!AA59</f>
        <v>4.9599999999999998E-2</v>
      </c>
      <c r="U71" s="66">
        <f t="shared" si="12"/>
        <v>0</v>
      </c>
      <c r="V71" s="31">
        <f>'льготный период'!J59</f>
        <v>0</v>
      </c>
      <c r="W71" s="31">
        <f>'льготный период'!D59</f>
        <v>0</v>
      </c>
      <c r="X71" s="31">
        <f>'льготный период'!V59</f>
        <v>0.1105</v>
      </c>
      <c r="Y71" s="31">
        <f>'льготный период'!P60</f>
        <v>9.4200000000000006E-2</v>
      </c>
      <c r="Z71" s="31">
        <f>'льготный период'!AB59</f>
        <v>9.3799999999999994E-2</v>
      </c>
      <c r="AA71" s="66">
        <f t="shared" si="13"/>
        <v>0</v>
      </c>
      <c r="AB71" s="31">
        <f>'льготный период'!K59</f>
        <v>0</v>
      </c>
      <c r="AC71" s="67">
        <f t="shared" si="5"/>
        <v>0</v>
      </c>
      <c r="AD71" s="31">
        <f>'льготный период'!W59</f>
        <v>0.21920000000000001</v>
      </c>
      <c r="AE71" s="31">
        <f>'льготный период'!Q60</f>
        <v>0.18709999999999999</v>
      </c>
      <c r="AF71" s="31">
        <f>'льготный период'!AC59</f>
        <v>0.1867</v>
      </c>
    </row>
    <row r="72" spans="1:32" x14ac:dyDescent="0.25">
      <c r="A72" s="28">
        <f t="shared" si="15"/>
        <v>54</v>
      </c>
      <c r="B72" s="66" t="str">
        <f t="shared" si="9"/>
        <v/>
      </c>
      <c r="C72" s="66">
        <f t="shared" si="2"/>
        <v>0</v>
      </c>
      <c r="D72" s="31">
        <f>IF($A$12=$A$16,' на весь срок'!I59,'льготный период'!H60)</f>
        <v>0</v>
      </c>
      <c r="E72" s="31">
        <f>IF($A$12=$A$16,' на весь срок'!C59,'льготный период'!B60)</f>
        <v>0</v>
      </c>
      <c r="F72" s="31">
        <f>' на весь срок'!S59</f>
        <v>0.11499999999999996</v>
      </c>
      <c r="G72" s="31">
        <f>' на весь срок'!N61</f>
        <v>0.11299999999999996</v>
      </c>
      <c r="H72" s="31">
        <f>' на весь срок'!W59</f>
        <v>0.11899999999999994</v>
      </c>
      <c r="I72" s="66">
        <f t="shared" si="10"/>
        <v>0</v>
      </c>
      <c r="J72" s="31">
        <f>' на весь срок'!J59</f>
        <v>0</v>
      </c>
      <c r="K72" s="31">
        <f>' на весь срок'!D59</f>
        <v>0</v>
      </c>
      <c r="L72" s="31">
        <f>' на весь срок'!T59</f>
        <v>0.24740000000000001</v>
      </c>
      <c r="M72" s="31">
        <f>' на весь срок'!O61</f>
        <v>0.21579999999999999</v>
      </c>
      <c r="N72" s="31">
        <f>' на весь срок'!X59</f>
        <v>0.21149999999999999</v>
      </c>
      <c r="O72" s="66">
        <f t="shared" si="11"/>
        <v>0</v>
      </c>
      <c r="P72" s="31">
        <f>'льготный период'!I60</f>
        <v>0</v>
      </c>
      <c r="Q72" s="31">
        <f>'льготный период'!C60</f>
        <v>0</v>
      </c>
      <c r="R72" s="31">
        <f>'льготный период'!U60</f>
        <v>5.9499999999999997E-2</v>
      </c>
      <c r="S72" s="31">
        <f>'льготный период'!O61</f>
        <v>5.0799999999999998E-2</v>
      </c>
      <c r="T72" s="31">
        <f>'льготный период'!AA60</f>
        <v>5.0599999999999999E-2</v>
      </c>
      <c r="U72" s="66">
        <f t="shared" si="12"/>
        <v>0</v>
      </c>
      <c r="V72" s="31">
        <f>'льготный период'!J60</f>
        <v>0</v>
      </c>
      <c r="W72" s="31">
        <f>'льготный период'!D60</f>
        <v>0</v>
      </c>
      <c r="X72" s="31">
        <f>'льготный период'!V60</f>
        <v>0.1123</v>
      </c>
      <c r="Y72" s="31">
        <f>'льготный период'!P61</f>
        <v>9.6000000000000002E-2</v>
      </c>
      <c r="Z72" s="31">
        <f>'льготный период'!AB60</f>
        <v>9.5600000000000004E-2</v>
      </c>
      <c r="AA72" s="66">
        <f t="shared" si="13"/>
        <v>0</v>
      </c>
      <c r="AB72" s="31">
        <f>'льготный период'!K60</f>
        <v>0</v>
      </c>
      <c r="AC72" s="67">
        <f t="shared" si="5"/>
        <v>0</v>
      </c>
      <c r="AD72" s="31">
        <f>'льготный период'!W60</f>
        <v>0.22270000000000001</v>
      </c>
      <c r="AE72" s="31">
        <f>'льготный период'!Q61</f>
        <v>0.19059999999999999</v>
      </c>
      <c r="AF72" s="31">
        <f>'льготный период'!AC60</f>
        <v>0.19020000000000001</v>
      </c>
    </row>
    <row r="73" spans="1:32" x14ac:dyDescent="0.25">
      <c r="A73" s="28">
        <f t="shared" si="15"/>
        <v>55</v>
      </c>
      <c r="B73" s="66" t="str">
        <f t="shared" si="9"/>
        <v/>
      </c>
      <c r="C73" s="66">
        <f t="shared" si="2"/>
        <v>0</v>
      </c>
      <c r="D73" s="31">
        <f>IF($A$12=$A$16,' на весь срок'!I60,'льготный период'!H61)</f>
        <v>0</v>
      </c>
      <c r="E73" s="31">
        <f>IF($A$12=$A$16,' на весь срок'!C60,'льготный период'!B61)</f>
        <v>0</v>
      </c>
      <c r="F73" s="31">
        <f>' на весь срок'!S60</f>
        <v>0.11399999999999996</v>
      </c>
      <c r="G73" s="31">
        <f>' на весь срок'!N62</f>
        <v>0.11199999999999996</v>
      </c>
      <c r="H73" s="31">
        <f>' на весь срок'!W60</f>
        <v>0.11799999999999994</v>
      </c>
      <c r="I73" s="66">
        <f t="shared" si="10"/>
        <v>0</v>
      </c>
      <c r="J73" s="31">
        <f>' на весь срок'!J60</f>
        <v>0</v>
      </c>
      <c r="K73" s="31">
        <f>' на весь срок'!D60</f>
        <v>0</v>
      </c>
      <c r="L73" s="31">
        <f>' на весь срок'!T60</f>
        <v>0.25130000000000002</v>
      </c>
      <c r="M73" s="31">
        <f>' на весь срок'!O62</f>
        <v>0.21970000000000001</v>
      </c>
      <c r="N73" s="31">
        <f>' на весь срок'!X60</f>
        <v>0.21540000000000001</v>
      </c>
      <c r="O73" s="66">
        <f t="shared" si="11"/>
        <v>0</v>
      </c>
      <c r="P73" s="31">
        <f>'льготный период'!I61</f>
        <v>0</v>
      </c>
      <c r="Q73" s="31">
        <f>'льготный период'!C61</f>
        <v>0</v>
      </c>
      <c r="R73" s="31">
        <f>'льготный период'!U61</f>
        <v>6.0499999999999998E-2</v>
      </c>
      <c r="S73" s="31">
        <f>'льготный период'!O62</f>
        <v>5.1799999999999999E-2</v>
      </c>
      <c r="T73" s="31">
        <f>'льготный период'!AA61</f>
        <v>5.16E-2</v>
      </c>
      <c r="U73" s="66">
        <f t="shared" si="12"/>
        <v>0</v>
      </c>
      <c r="V73" s="31">
        <f>'льготный период'!J61</f>
        <v>0</v>
      </c>
      <c r="W73" s="31">
        <f>'льготный период'!D61</f>
        <v>0</v>
      </c>
      <c r="X73" s="31">
        <f>'льготный период'!V61</f>
        <v>0.11409999999999999</v>
      </c>
      <c r="Y73" s="31">
        <f>'льготный период'!P62</f>
        <v>9.7799999999999998E-2</v>
      </c>
      <c r="Z73" s="31">
        <f>'льготный период'!AB61</f>
        <v>9.7500000000000003E-2</v>
      </c>
      <c r="AA73" s="66">
        <f t="shared" si="13"/>
        <v>0</v>
      </c>
      <c r="AB73" s="31">
        <f>'льготный период'!K61</f>
        <v>0</v>
      </c>
      <c r="AC73" s="67">
        <f t="shared" si="5"/>
        <v>0</v>
      </c>
      <c r="AD73" s="31">
        <f>'льготный период'!W61</f>
        <v>0.2263</v>
      </c>
      <c r="AE73" s="31">
        <f>'льготный период'!Q62</f>
        <v>0.19409999999999999</v>
      </c>
      <c r="AF73" s="31">
        <f>'льготный период'!AC61</f>
        <v>0.1938</v>
      </c>
    </row>
    <row r="74" spans="1:32" x14ac:dyDescent="0.25">
      <c r="A74" s="28">
        <f t="shared" si="15"/>
        <v>56</v>
      </c>
      <c r="B74" s="66" t="str">
        <f t="shared" si="9"/>
        <v/>
      </c>
      <c r="C74" s="66">
        <f t="shared" si="2"/>
        <v>0</v>
      </c>
      <c r="D74" s="31">
        <f>IF($A$12=$A$16,' на весь срок'!I61,'льготный период'!H62)</f>
        <v>0</v>
      </c>
      <c r="E74" s="31">
        <f>IF($A$12=$A$16,' на весь срок'!C61,'льготный период'!B62)</f>
        <v>0</v>
      </c>
      <c r="F74" s="31">
        <f>' на весь срок'!S61</f>
        <v>0.11299999999999996</v>
      </c>
      <c r="G74" s="31">
        <f>' на весь срок'!N63</f>
        <v>0.11099999999999996</v>
      </c>
      <c r="H74" s="31">
        <f>' на весь срок'!W61</f>
        <v>0.11699999999999994</v>
      </c>
      <c r="I74" s="66">
        <f t="shared" si="10"/>
        <v>0</v>
      </c>
      <c r="J74" s="31">
        <f>' на весь срок'!J61</f>
        <v>0</v>
      </c>
      <c r="K74" s="31">
        <f>' на весь срок'!D61</f>
        <v>0</v>
      </c>
      <c r="L74" s="31">
        <f>' на весь срок'!T61</f>
        <v>0.25519999999999998</v>
      </c>
      <c r="M74" s="31">
        <f>' на весь срок'!O63</f>
        <v>0.2235</v>
      </c>
      <c r="N74" s="31">
        <f>' на весь срок'!X61</f>
        <v>0.21929999999999999</v>
      </c>
      <c r="O74" s="66">
        <f t="shared" si="11"/>
        <v>0</v>
      </c>
      <c r="P74" s="31">
        <f>'льготный период'!I62</f>
        <v>0</v>
      </c>
      <c r="Q74" s="31">
        <f>'льготный период'!C62</f>
        <v>0</v>
      </c>
      <c r="R74" s="31">
        <f>'льготный период'!U62</f>
        <v>6.1499999999999999E-2</v>
      </c>
      <c r="S74" s="31">
        <f>'льготный период'!O63</f>
        <v>5.28E-2</v>
      </c>
      <c r="T74" s="31">
        <f>'льготный период'!AA62</f>
        <v>5.2600000000000001E-2</v>
      </c>
      <c r="U74" s="66">
        <f t="shared" si="12"/>
        <v>0</v>
      </c>
      <c r="V74" s="31">
        <f>'льготный период'!J62</f>
        <v>0</v>
      </c>
      <c r="W74" s="31">
        <f>'льготный период'!D62</f>
        <v>0</v>
      </c>
      <c r="X74" s="31">
        <f>'льготный период'!V62</f>
        <v>0.11600000000000001</v>
      </c>
      <c r="Y74" s="31">
        <f>'льготный период'!P63</f>
        <v>9.9599999999999994E-2</v>
      </c>
      <c r="Z74" s="31">
        <f>'льготный период'!AB62</f>
        <v>9.9299999999999999E-2</v>
      </c>
      <c r="AA74" s="66">
        <f t="shared" si="13"/>
        <v>0</v>
      </c>
      <c r="AB74" s="31">
        <f>'льготный период'!K62</f>
        <v>0</v>
      </c>
      <c r="AC74" s="67">
        <f t="shared" si="5"/>
        <v>0</v>
      </c>
      <c r="AD74" s="31">
        <f>'льготный период'!W62</f>
        <v>0.2298</v>
      </c>
      <c r="AE74" s="31">
        <f>'льготный период'!Q63</f>
        <v>0.1976</v>
      </c>
      <c r="AF74" s="31">
        <f>'льготный период'!AC62</f>
        <v>0.1973</v>
      </c>
    </row>
    <row r="75" spans="1:32" x14ac:dyDescent="0.25">
      <c r="A75" s="28">
        <f t="shared" si="15"/>
        <v>57</v>
      </c>
      <c r="B75" s="66" t="str">
        <f t="shared" si="9"/>
        <v/>
      </c>
      <c r="C75" s="66">
        <f t="shared" si="2"/>
        <v>0</v>
      </c>
      <c r="D75" s="31">
        <f>IF($A$12=$A$16,' на весь срок'!I62,'льготный период'!H63)</f>
        <v>0</v>
      </c>
      <c r="E75" s="31">
        <f>IF($A$12=$A$16,' на весь срок'!C62,'льготный период'!B63)</f>
        <v>0</v>
      </c>
      <c r="F75" s="31">
        <f>' на весь срок'!S62</f>
        <v>0.11199999999999996</v>
      </c>
      <c r="G75" s="31">
        <f>' на весь срок'!N64</f>
        <v>0.10999999999999996</v>
      </c>
      <c r="H75" s="31">
        <f>' на весь срок'!W62</f>
        <v>0.11599999999999994</v>
      </c>
      <c r="I75" s="66">
        <f t="shared" si="10"/>
        <v>0</v>
      </c>
      <c r="J75" s="31">
        <f>' на весь срок'!J62</f>
        <v>0</v>
      </c>
      <c r="K75" s="31">
        <f>' на весь срок'!D62</f>
        <v>0</v>
      </c>
      <c r="L75" s="31">
        <f>' на весь срок'!T62</f>
        <v>0.25900000000000001</v>
      </c>
      <c r="M75" s="31">
        <f>' на весь срок'!O64</f>
        <v>0.2273</v>
      </c>
      <c r="N75" s="31">
        <f>' на весь срок'!X62</f>
        <v>0.22320000000000001</v>
      </c>
      <c r="O75" s="66">
        <f t="shared" si="11"/>
        <v>0</v>
      </c>
      <c r="P75" s="31">
        <f>'льготный период'!I63</f>
        <v>0</v>
      </c>
      <c r="Q75" s="31">
        <f>'льготный период'!C63</f>
        <v>0</v>
      </c>
      <c r="R75" s="31">
        <f>'льготный период'!U63</f>
        <v>6.2399999999999997E-2</v>
      </c>
      <c r="S75" s="31">
        <f>'льготный период'!O64</f>
        <v>5.3699999999999998E-2</v>
      </c>
      <c r="T75" s="31">
        <f>'льготный период'!AA63</f>
        <v>5.3499999999999999E-2</v>
      </c>
      <c r="U75" s="66">
        <f t="shared" si="12"/>
        <v>0</v>
      </c>
      <c r="V75" s="31">
        <f>'льготный период'!J63</f>
        <v>0</v>
      </c>
      <c r="W75" s="31">
        <f>'льготный период'!D63</f>
        <v>0</v>
      </c>
      <c r="X75" s="31">
        <f>'льготный период'!V63</f>
        <v>0.1178</v>
      </c>
      <c r="Y75" s="31">
        <f>'льготный период'!P64</f>
        <v>0.1014</v>
      </c>
      <c r="Z75" s="31">
        <f>'льготный период'!AB63</f>
        <v>0.1011</v>
      </c>
      <c r="AA75" s="66">
        <f t="shared" si="13"/>
        <v>0</v>
      </c>
      <c r="AB75" s="31">
        <f>'льготный период'!K63</f>
        <v>0</v>
      </c>
      <c r="AC75" s="67">
        <f t="shared" si="5"/>
        <v>0</v>
      </c>
      <c r="AD75" s="31">
        <f>'льготный период'!W63</f>
        <v>0.23330000000000001</v>
      </c>
      <c r="AE75" s="31">
        <f>'льготный период'!Q64</f>
        <v>0.2011</v>
      </c>
      <c r="AF75" s="31">
        <f>'льготный период'!AC63</f>
        <v>0.20080000000000001</v>
      </c>
    </row>
    <row r="76" spans="1:32" x14ac:dyDescent="0.25">
      <c r="A76" s="28">
        <f t="shared" si="15"/>
        <v>58</v>
      </c>
      <c r="B76" s="66" t="str">
        <f t="shared" si="9"/>
        <v/>
      </c>
      <c r="C76" s="66">
        <f t="shared" si="2"/>
        <v>0</v>
      </c>
      <c r="D76" s="31">
        <f>IF($A$12=$A$16,' на весь срок'!I63,'льготный период'!H64)</f>
        <v>0</v>
      </c>
      <c r="E76" s="31">
        <f>IF($A$12=$A$16,' на весь срок'!C63,'льготный период'!B64)</f>
        <v>0</v>
      </c>
      <c r="F76" s="31">
        <f>' на весь срок'!S63</f>
        <v>0.11099999999999996</v>
      </c>
      <c r="G76" s="31">
        <f>' на весь срок'!N65</f>
        <v>0.10899999999999996</v>
      </c>
      <c r="H76" s="31">
        <f>' на весь срок'!W63</f>
        <v>0.11499999999999994</v>
      </c>
      <c r="I76" s="66">
        <f t="shared" si="10"/>
        <v>0</v>
      </c>
      <c r="J76" s="31">
        <f>' на весь срок'!J63</f>
        <v>0</v>
      </c>
      <c r="K76" s="31">
        <f>' на весь срок'!D63</f>
        <v>0</v>
      </c>
      <c r="L76" s="31">
        <f>' на весь срок'!T63</f>
        <v>0.26290000000000002</v>
      </c>
      <c r="M76" s="31">
        <f>' на весь срок'!O65</f>
        <v>0.23119999999999999</v>
      </c>
      <c r="N76" s="31">
        <f>' на весь срок'!X63</f>
        <v>0.2271</v>
      </c>
      <c r="O76" s="66">
        <f t="shared" si="11"/>
        <v>0</v>
      </c>
      <c r="P76" s="31">
        <f>'льготный период'!I64</f>
        <v>0</v>
      </c>
      <c r="Q76" s="31">
        <f>'льготный период'!C64</f>
        <v>0</v>
      </c>
      <c r="R76" s="31">
        <f>'льготный период'!U64</f>
        <v>6.3399999999999998E-2</v>
      </c>
      <c r="S76" s="31">
        <f>'льготный период'!O65</f>
        <v>5.4699999999999999E-2</v>
      </c>
      <c r="T76" s="31">
        <f>'льготный период'!AA64</f>
        <v>5.45E-2</v>
      </c>
      <c r="U76" s="66">
        <f t="shared" si="12"/>
        <v>0</v>
      </c>
      <c r="V76" s="31">
        <f>'льготный период'!J64</f>
        <v>0</v>
      </c>
      <c r="W76" s="31">
        <f>'льготный период'!D64</f>
        <v>0</v>
      </c>
      <c r="X76" s="31">
        <f>'льготный период'!V64</f>
        <v>0.1196</v>
      </c>
      <c r="Y76" s="31">
        <f>'льготный период'!P65</f>
        <v>0.1032</v>
      </c>
      <c r="Z76" s="31">
        <f>'льготный период'!AB64</f>
        <v>0.10290000000000001</v>
      </c>
      <c r="AA76" s="66">
        <f t="shared" si="13"/>
        <v>0</v>
      </c>
      <c r="AB76" s="31">
        <f>'льготный период'!K64</f>
        <v>0</v>
      </c>
      <c r="AC76" s="67">
        <f t="shared" si="5"/>
        <v>0</v>
      </c>
      <c r="AD76" s="31">
        <f>'льготный период'!W64</f>
        <v>0.23680000000000001</v>
      </c>
      <c r="AE76" s="31">
        <f>'льготный период'!Q65</f>
        <v>0.2046</v>
      </c>
      <c r="AF76" s="31">
        <f>'льготный период'!AC64</f>
        <v>0.20430000000000001</v>
      </c>
    </row>
    <row r="77" spans="1:32" x14ac:dyDescent="0.25">
      <c r="A77" s="28">
        <f t="shared" si="15"/>
        <v>59</v>
      </c>
      <c r="B77" s="66" t="str">
        <f t="shared" si="9"/>
        <v/>
      </c>
      <c r="C77" s="66">
        <f t="shared" si="2"/>
        <v>0</v>
      </c>
      <c r="D77" s="31">
        <f>IF($A$12=$A$16,' на весь срок'!I64,'льготный период'!H65)</f>
        <v>0</v>
      </c>
      <c r="E77" s="31">
        <f>IF($A$12=$A$16,' на весь срок'!C64,'льготный период'!B65)</f>
        <v>0</v>
      </c>
      <c r="F77" s="31">
        <f>' на весь срок'!S64</f>
        <v>0.10999999999999996</v>
      </c>
      <c r="G77" s="31">
        <f>' на весь срок'!N66</f>
        <v>0.10799999999999996</v>
      </c>
      <c r="H77" s="31">
        <f>' на весь срок'!W64</f>
        <v>0.11399999999999993</v>
      </c>
      <c r="I77" s="66">
        <f t="shared" si="10"/>
        <v>0</v>
      </c>
      <c r="J77" s="31">
        <f>' на весь срок'!J64</f>
        <v>0</v>
      </c>
      <c r="K77" s="31">
        <f>' на весь срок'!D64</f>
        <v>0</v>
      </c>
      <c r="L77" s="31">
        <f>' на весь срок'!T64</f>
        <v>0.26669999999999999</v>
      </c>
      <c r="M77" s="31">
        <f>' на весь срок'!O66</f>
        <v>0.23499999999999999</v>
      </c>
      <c r="N77" s="31">
        <f>' на весь срок'!X64</f>
        <v>0.23089999999999999</v>
      </c>
      <c r="O77" s="66">
        <f t="shared" si="11"/>
        <v>0</v>
      </c>
      <c r="P77" s="31">
        <f>'льготный период'!I65</f>
        <v>0</v>
      </c>
      <c r="Q77" s="31">
        <f>'льготный период'!C65</f>
        <v>0</v>
      </c>
      <c r="R77" s="31">
        <f>'льготный период'!U65</f>
        <v>6.4399999999999999E-2</v>
      </c>
      <c r="S77" s="31">
        <f>'льготный период'!O66</f>
        <v>5.57E-2</v>
      </c>
      <c r="T77" s="31">
        <f>'льготный период'!AA65</f>
        <v>5.5500000000000001E-2</v>
      </c>
      <c r="U77" s="66">
        <f t="shared" si="12"/>
        <v>0</v>
      </c>
      <c r="V77" s="31">
        <f>'льготный период'!J65</f>
        <v>0</v>
      </c>
      <c r="W77" s="31">
        <f>'льготный период'!D65</f>
        <v>0</v>
      </c>
      <c r="X77" s="31">
        <f>'льготный период'!V65</f>
        <v>0.12139999999999999</v>
      </c>
      <c r="Y77" s="31">
        <f>'льготный период'!P66</f>
        <v>0.105</v>
      </c>
      <c r="Z77" s="31">
        <f>'льготный период'!AB65</f>
        <v>0.1048</v>
      </c>
      <c r="AA77" s="66">
        <f t="shared" si="13"/>
        <v>0</v>
      </c>
      <c r="AB77" s="31">
        <f>'льготный период'!K65</f>
        <v>0</v>
      </c>
      <c r="AC77" s="67">
        <f t="shared" si="5"/>
        <v>0</v>
      </c>
      <c r="AD77" s="31">
        <f>'льготный период'!W65</f>
        <v>0.24030000000000001</v>
      </c>
      <c r="AE77" s="31">
        <f>'льготный период'!Q66</f>
        <v>0.20810000000000001</v>
      </c>
      <c r="AF77" s="31">
        <f>'льготный период'!AC65</f>
        <v>0.2079</v>
      </c>
    </row>
    <row r="78" spans="1:32" x14ac:dyDescent="0.25">
      <c r="A78" s="28">
        <f t="shared" si="15"/>
        <v>60</v>
      </c>
      <c r="B78" s="66" t="str">
        <f t="shared" si="9"/>
        <v/>
      </c>
      <c r="C78" s="66">
        <f t="shared" si="2"/>
        <v>0</v>
      </c>
      <c r="D78" s="31">
        <f>IF($A$12=$A$16,' на весь срок'!I65,'льготный период'!H66)</f>
        <v>0</v>
      </c>
      <c r="E78" s="31">
        <f>IF($A$12=$A$16,' на весь срок'!C65,'льготный период'!B66)</f>
        <v>0</v>
      </c>
      <c r="F78" s="31">
        <f>' на весь срок'!S65</f>
        <v>0.10899999999999996</v>
      </c>
      <c r="G78" s="31">
        <f>' на весь срок'!N67</f>
        <v>0.10699999999999996</v>
      </c>
      <c r="H78" s="31">
        <f>' на весь срок'!W65</f>
        <v>0.11299999999999993</v>
      </c>
      <c r="I78" s="66">
        <f t="shared" si="10"/>
        <v>0</v>
      </c>
      <c r="J78" s="31">
        <f>' на весь срок'!J65</f>
        <v>0</v>
      </c>
      <c r="K78" s="31">
        <f>' на весь срок'!D65</f>
        <v>0</v>
      </c>
      <c r="L78" s="31">
        <f>' на весь срок'!T65</f>
        <v>0.27050000000000002</v>
      </c>
      <c r="M78" s="31">
        <f>' на весь срок'!O67</f>
        <v>0.23880000000000001</v>
      </c>
      <c r="N78" s="31">
        <f>' на весь срок'!X65</f>
        <v>0.23480000000000001</v>
      </c>
      <c r="O78" s="66">
        <f t="shared" si="11"/>
        <v>0</v>
      </c>
      <c r="P78" s="31">
        <f>'льготный период'!I66</f>
        <v>0</v>
      </c>
      <c r="Q78" s="31">
        <f>'льготный период'!C66</f>
        <v>0</v>
      </c>
      <c r="R78" s="31">
        <f>'льготный период'!U66</f>
        <v>6.54E-2</v>
      </c>
      <c r="S78" s="31">
        <f>'льготный период'!O67</f>
        <v>5.6599999999999998E-2</v>
      </c>
      <c r="T78" s="31">
        <f>'льготный период'!AA66</f>
        <v>5.6500000000000002E-2</v>
      </c>
      <c r="U78" s="66">
        <f t="shared" si="12"/>
        <v>0</v>
      </c>
      <c r="V78" s="31">
        <f>'льготный период'!J66</f>
        <v>0</v>
      </c>
      <c r="W78" s="31">
        <f>'льготный период'!D66</f>
        <v>0</v>
      </c>
      <c r="X78" s="31">
        <f>'льготный период'!V66</f>
        <v>0.12330000000000001</v>
      </c>
      <c r="Y78" s="31">
        <f>'льготный период'!P67</f>
        <v>0.10680000000000001</v>
      </c>
      <c r="Z78" s="31">
        <f>'льготный период'!AB66</f>
        <v>0.1066</v>
      </c>
      <c r="AA78" s="66">
        <f t="shared" si="13"/>
        <v>0</v>
      </c>
      <c r="AB78" s="31">
        <f>'льготный период'!K66</f>
        <v>0</v>
      </c>
      <c r="AC78" s="67">
        <f t="shared" si="5"/>
        <v>0</v>
      </c>
      <c r="AD78" s="31">
        <f>'льготный период'!W66</f>
        <v>0.24379999999999999</v>
      </c>
      <c r="AE78" s="31">
        <f>'льготный период'!Q67</f>
        <v>0.21160000000000001</v>
      </c>
      <c r="AF78" s="31">
        <f>'льготный период'!AC66</f>
        <v>0.2114</v>
      </c>
    </row>
    <row r="79" spans="1:32" x14ac:dyDescent="0.25">
      <c r="A79" s="28">
        <f t="shared" si="15"/>
        <v>61</v>
      </c>
      <c r="B79" s="66" t="str">
        <f t="shared" si="9"/>
        <v/>
      </c>
      <c r="C79" s="66">
        <f t="shared" si="2"/>
        <v>0</v>
      </c>
      <c r="D79" s="31">
        <f>IF($A$12=$A$16,' на весь срок'!I66,'льготный период'!H67)</f>
        <v>0</v>
      </c>
      <c r="E79" s="31">
        <f>IF($A$12=$A$16,' на весь срок'!C66,'льготный период'!B67)</f>
        <v>0</v>
      </c>
      <c r="F79" s="31">
        <f>' на весь срок'!S66</f>
        <v>0.10799999999999996</v>
      </c>
      <c r="G79" s="31">
        <f>' на весь срок'!N68</f>
        <v>0.10599999999999996</v>
      </c>
      <c r="H79" s="31">
        <f>' на весь срок'!W66</f>
        <v>0.11199999999999993</v>
      </c>
      <c r="I79" s="66">
        <f t="shared" si="10"/>
        <v>0</v>
      </c>
      <c r="J79" s="31">
        <f>' на весь срок'!J66</f>
        <v>0</v>
      </c>
      <c r="K79" s="31">
        <f>' на весь срок'!D66</f>
        <v>0</v>
      </c>
      <c r="L79" s="31">
        <f>' на весь срок'!T66</f>
        <v>0.27439999999999998</v>
      </c>
      <c r="M79" s="31">
        <f>' на весь срок'!O68</f>
        <v>0.24260000000000001</v>
      </c>
      <c r="N79" s="31">
        <f>' на весь срок'!X66</f>
        <v>0.2387</v>
      </c>
      <c r="O79" s="66">
        <f t="shared" si="11"/>
        <v>0</v>
      </c>
      <c r="P79" s="31">
        <f>'льготный период'!I67</f>
        <v>0</v>
      </c>
      <c r="Q79" s="31">
        <f>'льготный период'!C67</f>
        <v>0</v>
      </c>
      <c r="R79" s="31">
        <f>'льготный период'!U67</f>
        <v>6.6400000000000001E-2</v>
      </c>
      <c r="S79" s="31">
        <f>'льготный период'!O68</f>
        <v>5.7599999999999998E-2</v>
      </c>
      <c r="T79" s="31">
        <f>'льготный период'!AA67</f>
        <v>5.74E-2</v>
      </c>
      <c r="U79" s="66">
        <f t="shared" si="12"/>
        <v>0</v>
      </c>
      <c r="V79" s="31">
        <f>'льготный период'!J67</f>
        <v>0</v>
      </c>
      <c r="W79" s="31">
        <f>'льготный период'!D67</f>
        <v>0</v>
      </c>
      <c r="X79" s="31">
        <f>'льготный период'!V67</f>
        <v>0.12509999999999999</v>
      </c>
      <c r="Y79" s="31">
        <f>'льготный период'!P68</f>
        <v>0.1086</v>
      </c>
      <c r="Z79" s="31">
        <f>'льготный период'!AB67</f>
        <v>0.1084</v>
      </c>
      <c r="AA79" s="66">
        <f t="shared" si="13"/>
        <v>0</v>
      </c>
      <c r="AB79" s="31">
        <f>'льготный период'!K67</f>
        <v>0</v>
      </c>
      <c r="AC79" s="67">
        <f t="shared" si="5"/>
        <v>0</v>
      </c>
      <c r="AD79" s="31">
        <f>'льготный период'!W67</f>
        <v>0.2472</v>
      </c>
      <c r="AE79" s="31">
        <f>'льготный период'!Q68</f>
        <v>0.215</v>
      </c>
      <c r="AF79" s="31">
        <f>'льготный период'!AC67</f>
        <v>0.21490000000000001</v>
      </c>
    </row>
    <row r="80" spans="1:32" x14ac:dyDescent="0.25">
      <c r="A80" s="28">
        <f t="shared" si="15"/>
        <v>62</v>
      </c>
      <c r="B80" s="66" t="str">
        <f t="shared" si="9"/>
        <v/>
      </c>
      <c r="C80" s="66">
        <f t="shared" si="2"/>
        <v>0</v>
      </c>
      <c r="D80" s="31">
        <f>IF($A$12=$A$16,' на весь срок'!I67,'льготный период'!H68)</f>
        <v>0</v>
      </c>
      <c r="E80" s="31">
        <f>IF($A$12=$A$16,' на весь срок'!C67,'льготный период'!B68)</f>
        <v>0</v>
      </c>
      <c r="F80" s="31">
        <f>' на весь срок'!S67</f>
        <v>0.10699999999999996</v>
      </c>
      <c r="G80" s="31">
        <f>' на весь срок'!N69</f>
        <v>0.10499999999999997</v>
      </c>
      <c r="H80" s="31">
        <f>' на весь срок'!W67</f>
        <v>0.11099999999999993</v>
      </c>
      <c r="I80" s="66">
        <f t="shared" si="10"/>
        <v>0</v>
      </c>
      <c r="J80" s="31">
        <f>' на весь срок'!J67</f>
        <v>0</v>
      </c>
      <c r="K80" s="31">
        <f>' на весь срок'!D67</f>
        <v>0</v>
      </c>
      <c r="L80" s="31">
        <f>' на весь срок'!T67</f>
        <v>0.2782</v>
      </c>
      <c r="M80" s="31">
        <f>' на весь срок'!O69</f>
        <v>0.24640000000000001</v>
      </c>
      <c r="N80" s="31">
        <f>' на весь срок'!X67</f>
        <v>0.24249999999999999</v>
      </c>
      <c r="O80" s="66">
        <f t="shared" si="11"/>
        <v>0</v>
      </c>
      <c r="P80" s="31">
        <f>'льготный период'!I68</f>
        <v>0</v>
      </c>
      <c r="Q80" s="31">
        <f>'льготный период'!C68</f>
        <v>0</v>
      </c>
      <c r="R80" s="31">
        <f>'льготный период'!U68</f>
        <v>6.7299999999999999E-2</v>
      </c>
      <c r="S80" s="31">
        <f>'льготный период'!O69</f>
        <v>5.8599999999999999E-2</v>
      </c>
      <c r="T80" s="31">
        <f>'льготный период'!AA68</f>
        <v>5.8400000000000001E-2</v>
      </c>
      <c r="U80" s="66">
        <f t="shared" si="12"/>
        <v>0</v>
      </c>
      <c r="V80" s="31">
        <f>'льготный период'!J68</f>
        <v>0</v>
      </c>
      <c r="W80" s="31">
        <f>'льготный период'!D68</f>
        <v>0</v>
      </c>
      <c r="X80" s="31">
        <f>'льготный период'!V68</f>
        <v>0.12690000000000001</v>
      </c>
      <c r="Y80" s="31">
        <f>'льготный период'!P69</f>
        <v>0.1104</v>
      </c>
      <c r="Z80" s="31">
        <f>'льготный период'!AB68</f>
        <v>0.11020000000000001</v>
      </c>
      <c r="AA80" s="66">
        <f t="shared" si="13"/>
        <v>0</v>
      </c>
      <c r="AB80" s="31">
        <f>'льготный период'!K68</f>
        <v>0</v>
      </c>
      <c r="AC80" s="67">
        <f t="shared" si="5"/>
        <v>0</v>
      </c>
      <c r="AD80" s="31">
        <f>'льготный период'!W68</f>
        <v>0.25069999999999998</v>
      </c>
      <c r="AE80" s="31">
        <f>'льготный период'!Q69</f>
        <v>0.2185</v>
      </c>
      <c r="AF80" s="31">
        <f>'льготный период'!AC68</f>
        <v>0.21840000000000001</v>
      </c>
    </row>
    <row r="81" spans="1:32" x14ac:dyDescent="0.25">
      <c r="A81" s="28">
        <f t="shared" si="15"/>
        <v>63</v>
      </c>
      <c r="B81" s="66" t="str">
        <f t="shared" si="9"/>
        <v/>
      </c>
      <c r="C81" s="66">
        <f t="shared" si="2"/>
        <v>0</v>
      </c>
      <c r="D81" s="31">
        <f>IF($A$12=$A$16,' на весь срок'!I68,'льготный период'!H69)</f>
        <v>0</v>
      </c>
      <c r="E81" s="31">
        <f>IF($A$12=$A$16,' на весь срок'!C68,'льготный период'!B69)</f>
        <v>0</v>
      </c>
      <c r="F81" s="31">
        <f>' на весь срок'!S68</f>
        <v>0.10599999999999996</v>
      </c>
      <c r="G81" s="31">
        <f>' на весь срок'!N70</f>
        <v>0.10399999999999997</v>
      </c>
      <c r="H81" s="31">
        <f>' на весь срок'!W68</f>
        <v>0.10999999999999993</v>
      </c>
      <c r="I81" s="66">
        <f t="shared" si="10"/>
        <v>0</v>
      </c>
      <c r="J81" s="31">
        <f>' на весь срок'!J68</f>
        <v>0</v>
      </c>
      <c r="K81" s="31">
        <f>' на весь срок'!D68</f>
        <v>0</v>
      </c>
      <c r="L81" s="31">
        <f>' на весь срок'!T68</f>
        <v>0.28199999999999997</v>
      </c>
      <c r="M81" s="31">
        <f>' на весь срок'!O70</f>
        <v>0.25009999999999999</v>
      </c>
      <c r="N81" s="31">
        <f>' на весь срок'!X68</f>
        <v>0.24629999999999999</v>
      </c>
      <c r="O81" s="66">
        <f t="shared" si="11"/>
        <v>0</v>
      </c>
      <c r="P81" s="31">
        <f>'льготный период'!I69</f>
        <v>0</v>
      </c>
      <c r="Q81" s="31">
        <f>'льготный период'!C69</f>
        <v>0</v>
      </c>
      <c r="R81" s="31">
        <f>'льготный период'!U69</f>
        <v>6.83E-2</v>
      </c>
      <c r="S81" s="31">
        <f>'льготный период'!O70</f>
        <v>5.9499999999999997E-2</v>
      </c>
      <c r="T81" s="31">
        <f>'льготный период'!AA69</f>
        <v>5.9400000000000001E-2</v>
      </c>
      <c r="U81" s="66">
        <f t="shared" si="12"/>
        <v>0</v>
      </c>
      <c r="V81" s="31">
        <f>'льготный период'!J69</f>
        <v>0</v>
      </c>
      <c r="W81" s="31">
        <f>'льготный период'!D69</f>
        <v>0</v>
      </c>
      <c r="X81" s="31">
        <f>'льготный период'!V69</f>
        <v>0.12870000000000001</v>
      </c>
      <c r="Y81" s="31">
        <f>'льготный период'!P70</f>
        <v>0.11219999999999999</v>
      </c>
      <c r="Z81" s="31">
        <f>'льготный период'!AB69</f>
        <v>0.112</v>
      </c>
      <c r="AA81" s="66">
        <f t="shared" si="13"/>
        <v>0</v>
      </c>
      <c r="AB81" s="31">
        <f>'льготный период'!K69</f>
        <v>0</v>
      </c>
      <c r="AC81" s="67">
        <f t="shared" si="5"/>
        <v>0</v>
      </c>
      <c r="AD81" s="31">
        <f>'льготный период'!W69</f>
        <v>0.25419999999999998</v>
      </c>
      <c r="AE81" s="31">
        <f>'льготный период'!Q70</f>
        <v>0.22189999999999999</v>
      </c>
      <c r="AF81" s="31">
        <f>'льготный период'!AC69</f>
        <v>0.2218</v>
      </c>
    </row>
    <row r="82" spans="1:32" x14ac:dyDescent="0.25">
      <c r="A82" s="28">
        <f t="shared" si="15"/>
        <v>64</v>
      </c>
      <c r="B82" s="66" t="str">
        <f t="shared" si="9"/>
        <v/>
      </c>
      <c r="C82" s="66">
        <f t="shared" si="2"/>
        <v>0</v>
      </c>
      <c r="D82" s="31">
        <f>IF($A$12=$A$16,' на весь срок'!I69,'льготный период'!H70)</f>
        <v>0</v>
      </c>
      <c r="E82" s="31">
        <f>IF($A$12=$A$16,' на весь срок'!C69,'льготный период'!B70)</f>
        <v>0</v>
      </c>
      <c r="F82" s="31">
        <f>' на весь срок'!S69</f>
        <v>0.10499999999999997</v>
      </c>
      <c r="G82" s="31">
        <f>' на весь срок'!N71</f>
        <v>0.10299999999999997</v>
      </c>
      <c r="H82" s="31">
        <f>' на весь срок'!W69</f>
        <v>0.10899999999999994</v>
      </c>
      <c r="I82" s="66">
        <f t="shared" si="10"/>
        <v>0</v>
      </c>
      <c r="J82" s="31">
        <f>' на весь срок'!J69</f>
        <v>0</v>
      </c>
      <c r="K82" s="31">
        <f>' на весь срок'!D69</f>
        <v>0</v>
      </c>
      <c r="L82" s="31">
        <f>' на весь срок'!T69</f>
        <v>0.2858</v>
      </c>
      <c r="M82" s="31">
        <f>' на весь срок'!O71</f>
        <v>0.25390000000000001</v>
      </c>
      <c r="N82" s="31">
        <f>' на весь срок'!X69</f>
        <v>0.25019999999999998</v>
      </c>
      <c r="O82" s="66">
        <f t="shared" si="11"/>
        <v>0</v>
      </c>
      <c r="P82" s="31">
        <f>'льготный период'!I70</f>
        <v>0</v>
      </c>
      <c r="Q82" s="31">
        <f>'льготный период'!C70</f>
        <v>0</v>
      </c>
      <c r="R82" s="31">
        <f>'льготный период'!U70</f>
        <v>6.93E-2</v>
      </c>
      <c r="S82" s="31">
        <f>'льготный период'!O71</f>
        <v>6.0499999999999998E-2</v>
      </c>
      <c r="T82" s="31">
        <f>'льготный период'!AA70</f>
        <v>6.0400000000000002E-2</v>
      </c>
      <c r="U82" s="66">
        <f t="shared" si="12"/>
        <v>0</v>
      </c>
      <c r="V82" s="31">
        <f>'льготный период'!J70</f>
        <v>0</v>
      </c>
      <c r="W82" s="31">
        <f>'льготный период'!D70</f>
        <v>0</v>
      </c>
      <c r="X82" s="31">
        <f>'льготный период'!V70</f>
        <v>0.13059999999999999</v>
      </c>
      <c r="Y82" s="31">
        <f>'льготный период'!P71</f>
        <v>0.114</v>
      </c>
      <c r="Z82" s="31">
        <f>'льготный период'!AB70</f>
        <v>0.1138</v>
      </c>
      <c r="AA82" s="66">
        <f t="shared" si="13"/>
        <v>0</v>
      </c>
      <c r="AB82" s="31">
        <f>'льготный период'!K70</f>
        <v>0</v>
      </c>
      <c r="AC82" s="67">
        <f t="shared" si="5"/>
        <v>0</v>
      </c>
      <c r="AD82" s="31">
        <f>'льготный период'!W70</f>
        <v>0.25769999999999998</v>
      </c>
      <c r="AE82" s="31">
        <f>'льготный период'!Q71</f>
        <v>0.22539999999999999</v>
      </c>
      <c r="AF82" s="31">
        <f>'льготный период'!AC70</f>
        <v>0.2253</v>
      </c>
    </row>
    <row r="83" spans="1:32" x14ac:dyDescent="0.25">
      <c r="A83" s="28">
        <f t="shared" si="15"/>
        <v>65</v>
      </c>
      <c r="B83" s="66" t="str">
        <f t="shared" si="9"/>
        <v/>
      </c>
      <c r="C83" s="66">
        <f t="shared" si="2"/>
        <v>0</v>
      </c>
      <c r="D83" s="31">
        <f>IF($A$12=$A$16,' на весь срок'!I70,'льготный период'!H71)</f>
        <v>0</v>
      </c>
      <c r="E83" s="31">
        <f>IF($A$12=$A$16,' на весь срок'!C70,'льготный период'!B71)</f>
        <v>0</v>
      </c>
      <c r="F83" s="31">
        <f>' на весь срок'!S70</f>
        <v>0.10399999999999997</v>
      </c>
      <c r="G83" s="31">
        <f>' на весь срок'!N72</f>
        <v>0.10199999999999997</v>
      </c>
      <c r="H83" s="31">
        <f>' на весь срок'!W70</f>
        <v>0.10799999999999994</v>
      </c>
      <c r="I83" s="66">
        <f t="shared" si="10"/>
        <v>0</v>
      </c>
      <c r="J83" s="31">
        <f>' на весь срок'!J70</f>
        <v>0</v>
      </c>
      <c r="K83" s="31">
        <f>' на весь срок'!D70</f>
        <v>0</v>
      </c>
      <c r="L83" s="31">
        <f>' на весь срок'!T70</f>
        <v>0.28960000000000002</v>
      </c>
      <c r="M83" s="31">
        <f>' на весь срок'!O72</f>
        <v>0.25769999999999998</v>
      </c>
      <c r="N83" s="31">
        <f>' на весь срок'!X70</f>
        <v>0.254</v>
      </c>
      <c r="O83" s="66">
        <f t="shared" si="11"/>
        <v>0</v>
      </c>
      <c r="P83" s="31">
        <f>'льготный период'!I71</f>
        <v>0</v>
      </c>
      <c r="Q83" s="31">
        <f>'льготный период'!C71</f>
        <v>0</v>
      </c>
      <c r="R83" s="31">
        <f>'льготный период'!U71</f>
        <v>7.0300000000000001E-2</v>
      </c>
      <c r="S83" s="31">
        <f>'льготный период'!O72</f>
        <v>6.1499999999999999E-2</v>
      </c>
      <c r="T83" s="31">
        <f>'льготный период'!AA71</f>
        <v>6.13E-2</v>
      </c>
      <c r="U83" s="66">
        <f t="shared" si="12"/>
        <v>0</v>
      </c>
      <c r="V83" s="31">
        <f>'льготный период'!J71</f>
        <v>0</v>
      </c>
      <c r="W83" s="31">
        <f>'льготный период'!D71</f>
        <v>0</v>
      </c>
      <c r="X83" s="31">
        <f>'льготный период'!V71</f>
        <v>0.13239999999999999</v>
      </c>
      <c r="Y83" s="31">
        <f>'льготный период'!P72</f>
        <v>0.1158</v>
      </c>
      <c r="Z83" s="31">
        <f>'льготный период'!AB71</f>
        <v>0.11559999999999999</v>
      </c>
      <c r="AA83" s="66">
        <f t="shared" si="13"/>
        <v>0</v>
      </c>
      <c r="AB83" s="31">
        <f>'льготный период'!K71</f>
        <v>0</v>
      </c>
      <c r="AC83" s="67">
        <f t="shared" si="5"/>
        <v>0</v>
      </c>
      <c r="AD83" s="31">
        <f>'льготный период'!W71</f>
        <v>0.2611</v>
      </c>
      <c r="AE83" s="31">
        <f>'льготный период'!Q72</f>
        <v>0.2288</v>
      </c>
      <c r="AF83" s="31">
        <f>'льготный период'!AC71</f>
        <v>0.2288</v>
      </c>
    </row>
    <row r="84" spans="1:32" x14ac:dyDescent="0.25">
      <c r="A84" s="28">
        <f>A83+1</f>
        <v>66</v>
      </c>
      <c r="B84" s="66" t="str">
        <f t="shared" ref="B84:B112" si="16">IF(HLOOKUP($A$6,$D$19:$H$112,A84,0)=0,"",HLOOKUP($A$6,$D$19:$H$112,A84,0))</f>
        <v/>
      </c>
      <c r="C84" s="66">
        <f t="shared" si="2"/>
        <v>0</v>
      </c>
      <c r="D84" s="31">
        <f>IF($A$12=$A$16,' на весь срок'!I71,'льготный период'!H72)</f>
        <v>0</v>
      </c>
      <c r="E84" s="31">
        <f>IF($A$12=$A$16,' на весь срок'!C71,'льготный период'!B72)</f>
        <v>0</v>
      </c>
      <c r="F84" s="31">
        <f>' на весь срок'!S71</f>
        <v>0.10299999999999997</v>
      </c>
      <c r="G84" s="31">
        <f>' на весь срок'!N73</f>
        <v>0.10099999999999996</v>
      </c>
      <c r="H84" s="31">
        <f>' на весь срок'!W71</f>
        <v>0.10699999999999994</v>
      </c>
      <c r="I84" s="66">
        <f t="shared" ref="I84:I112" si="17">HLOOKUP($A$6,$J$19:$N$112,A84,0)</f>
        <v>0</v>
      </c>
      <c r="J84" s="31">
        <f>' на весь срок'!J71</f>
        <v>0</v>
      </c>
      <c r="K84" s="31">
        <f>' на весь срок'!D71</f>
        <v>0</v>
      </c>
      <c r="L84" s="31">
        <f>' на весь срок'!T71</f>
        <v>0.29330000000000001</v>
      </c>
      <c r="M84" s="31">
        <f>' на весь срок'!O73</f>
        <v>0.26140000000000002</v>
      </c>
      <c r="N84" s="31">
        <f>' на весь срок'!X71</f>
        <v>0.25779999999999997</v>
      </c>
      <c r="O84" s="66">
        <f t="shared" ref="O84:O112" si="18">HLOOKUP($A$6,$P$19:$T$112,A84,0)</f>
        <v>0</v>
      </c>
      <c r="P84" s="31">
        <f>'льготный период'!I72</f>
        <v>0</v>
      </c>
      <c r="Q84" s="31">
        <f>'льготный период'!C72</f>
        <v>0</v>
      </c>
      <c r="R84" s="31">
        <f>'льготный период'!U72</f>
        <v>7.1199999999999999E-2</v>
      </c>
      <c r="S84" s="31">
        <f>'льготный период'!O73</f>
        <v>6.2399999999999997E-2</v>
      </c>
      <c r="T84" s="31">
        <f>'льготный период'!AA72</f>
        <v>6.2300000000000001E-2</v>
      </c>
      <c r="U84" s="66">
        <f t="shared" ref="U84:U112" si="19">HLOOKUP($A$6,$V$19:$Z$112,A84,0)</f>
        <v>0</v>
      </c>
      <c r="V84" s="31">
        <f>'льготный период'!J72</f>
        <v>0</v>
      </c>
      <c r="W84" s="31">
        <f>'льготный период'!D72</f>
        <v>0</v>
      </c>
      <c r="X84" s="31">
        <f>'льготный период'!V72</f>
        <v>0.13420000000000001</v>
      </c>
      <c r="Y84" s="31">
        <f>'льготный период'!P73</f>
        <v>0.1176</v>
      </c>
      <c r="Z84" s="31">
        <f>'льготный период'!AB72</f>
        <v>0.11749999999999999</v>
      </c>
      <c r="AA84" s="66">
        <f t="shared" ref="AA84:AA112" si="20">HLOOKUP($A$6,$AB$19:$AF$112,A84,0)</f>
        <v>0</v>
      </c>
      <c r="AB84" s="31">
        <f>'льготный период'!K72</f>
        <v>0</v>
      </c>
      <c r="AC84" s="67">
        <f t="shared" si="5"/>
        <v>0</v>
      </c>
      <c r="AD84" s="31">
        <f>'льготный период'!W72</f>
        <v>0.2646</v>
      </c>
      <c r="AE84" s="31">
        <f>'льготный период'!Q73</f>
        <v>0.23230000000000001</v>
      </c>
      <c r="AF84" s="31">
        <f>'льготный период'!AC72</f>
        <v>0.23230000000000001</v>
      </c>
    </row>
    <row r="85" spans="1:32" x14ac:dyDescent="0.25">
      <c r="A85" s="28">
        <f t="shared" ref="A85:A95" si="21">A84+1</f>
        <v>67</v>
      </c>
      <c r="B85" s="66" t="str">
        <f t="shared" si="16"/>
        <v/>
      </c>
      <c r="C85" s="66">
        <f t="shared" ref="C85:C112" si="22">IF($A$12=$I$19,I85,IF($A$12=$O$19,O85,IF($A$12=$U$19,U85,IF($A$12=$AA$19,AA85))))</f>
        <v>0</v>
      </c>
      <c r="D85" s="31">
        <f>IF($A$12=$A$16,' на весь срок'!I72,'льготный период'!H73)</f>
        <v>0</v>
      </c>
      <c r="E85" s="31">
        <f>IF($A$12=$A$16,' на весь срок'!C72,'льготный период'!B73)</f>
        <v>0</v>
      </c>
      <c r="F85" s="31">
        <f>' на весь срок'!S72</f>
        <v>0.10199999999999997</v>
      </c>
      <c r="G85" s="31">
        <f>' на весь срок'!N74</f>
        <v>9.9999999999999964E-2</v>
      </c>
      <c r="H85" s="31">
        <f>' на весь срок'!W72</f>
        <v>0.10599999999999994</v>
      </c>
      <c r="I85" s="66">
        <f t="shared" si="17"/>
        <v>0</v>
      </c>
      <c r="J85" s="31">
        <f>' на весь срок'!J72</f>
        <v>0</v>
      </c>
      <c r="K85" s="31">
        <f>' на весь срок'!D72</f>
        <v>0</v>
      </c>
      <c r="L85" s="31">
        <f>' на весь срок'!T72</f>
        <v>0.29709999999999998</v>
      </c>
      <c r="M85" s="31">
        <f>' на весь срок'!O74</f>
        <v>0.26519999999999999</v>
      </c>
      <c r="N85" s="31">
        <f>' на весь срок'!X72</f>
        <v>0.2616</v>
      </c>
      <c r="O85" s="66">
        <f t="shared" si="18"/>
        <v>0</v>
      </c>
      <c r="P85" s="31">
        <f>'льготный период'!I73</f>
        <v>0</v>
      </c>
      <c r="Q85" s="31">
        <f>'льготный период'!C73</f>
        <v>0</v>
      </c>
      <c r="R85" s="31">
        <f>'льготный период'!U73</f>
        <v>7.22E-2</v>
      </c>
      <c r="S85" s="31">
        <f>'льготный период'!O74</f>
        <v>6.3399999999999998E-2</v>
      </c>
      <c r="T85" s="31">
        <f>'льготный период'!AA73</f>
        <v>6.3299999999999995E-2</v>
      </c>
      <c r="U85" s="66">
        <f t="shared" si="19"/>
        <v>0</v>
      </c>
      <c r="V85" s="31">
        <f>'льготный период'!J73</f>
        <v>0</v>
      </c>
      <c r="W85" s="31">
        <f>'льготный период'!D73</f>
        <v>0</v>
      </c>
      <c r="X85" s="31">
        <f>'льготный период'!V73</f>
        <v>0.13600000000000001</v>
      </c>
      <c r="Y85" s="31">
        <f>'льготный период'!P74</f>
        <v>0.11940000000000001</v>
      </c>
      <c r="Z85" s="31">
        <f>'льготный период'!AB73</f>
        <v>0.1193</v>
      </c>
      <c r="AA85" s="66">
        <f t="shared" si="20"/>
        <v>0</v>
      </c>
      <c r="AB85" s="31">
        <f>'льготный период'!K73</f>
        <v>0</v>
      </c>
      <c r="AC85" s="67">
        <f t="shared" ref="AC85:AC112" si="23">K85</f>
        <v>0</v>
      </c>
      <c r="AD85" s="31">
        <f>'льготный период'!W73</f>
        <v>0.26800000000000002</v>
      </c>
      <c r="AE85" s="31">
        <f>'льготный период'!Q74</f>
        <v>0.23569999999999999</v>
      </c>
      <c r="AF85" s="31">
        <f>'льготный период'!AC73</f>
        <v>0.23569999999999999</v>
      </c>
    </row>
    <row r="86" spans="1:32" x14ac:dyDescent="0.25">
      <c r="A86" s="28">
        <f t="shared" si="21"/>
        <v>68</v>
      </c>
      <c r="B86" s="66" t="str">
        <f t="shared" si="16"/>
        <v/>
      </c>
      <c r="C86" s="66">
        <f t="shared" si="22"/>
        <v>0</v>
      </c>
      <c r="D86" s="31">
        <f>IF($A$12=$A$16,' на весь срок'!I73,'льготный период'!H74)</f>
        <v>0</v>
      </c>
      <c r="E86" s="31">
        <f>IF($A$12=$A$16,' на весь срок'!C73,'льготный период'!B74)</f>
        <v>0</v>
      </c>
      <c r="F86" s="31">
        <f>' на весь срок'!S73</f>
        <v>0.10099999999999996</v>
      </c>
      <c r="G86" s="31">
        <f>' на весь срок'!N75</f>
        <v>0</v>
      </c>
      <c r="H86" s="31">
        <f>' на весь срок'!W73</f>
        <v>0.10499999999999994</v>
      </c>
      <c r="I86" s="66">
        <f t="shared" si="17"/>
        <v>0</v>
      </c>
      <c r="J86" s="31">
        <f>' на весь срок'!J73</f>
        <v>0</v>
      </c>
      <c r="K86" s="31">
        <f>' на весь срок'!D73</f>
        <v>0</v>
      </c>
      <c r="L86" s="31">
        <f>' на весь срок'!T73</f>
        <v>0.3009</v>
      </c>
      <c r="M86" s="31">
        <f>' на весь срок'!O75</f>
        <v>0</v>
      </c>
      <c r="N86" s="31">
        <f>' на весь срок'!X73</f>
        <v>0.26540000000000002</v>
      </c>
      <c r="O86" s="66">
        <f t="shared" si="18"/>
        <v>0</v>
      </c>
      <c r="P86" s="31">
        <f>'льготный период'!I74</f>
        <v>0</v>
      </c>
      <c r="Q86" s="31">
        <f>'льготный период'!C74</f>
        <v>0</v>
      </c>
      <c r="R86" s="31">
        <f>'льготный период'!U74</f>
        <v>7.3200000000000001E-2</v>
      </c>
      <c r="S86" s="31">
        <f>'льготный период'!O75</f>
        <v>6.4399999999999999E-2</v>
      </c>
      <c r="T86" s="31">
        <f>'льготный период'!AA74</f>
        <v>6.4199999999999993E-2</v>
      </c>
      <c r="U86" s="66">
        <f t="shared" si="19"/>
        <v>0</v>
      </c>
      <c r="V86" s="31">
        <f>'льготный период'!J74</f>
        <v>0</v>
      </c>
      <c r="W86" s="31">
        <f>'льготный период'!D74</f>
        <v>0</v>
      </c>
      <c r="X86" s="31">
        <f>'льготный период'!V74</f>
        <v>0.13780000000000001</v>
      </c>
      <c r="Y86" s="31">
        <f>'льготный период'!P75</f>
        <v>0.1212</v>
      </c>
      <c r="Z86" s="31">
        <f>'льготный период'!AB74</f>
        <v>0.1211</v>
      </c>
      <c r="AA86" s="66">
        <f t="shared" si="20"/>
        <v>0</v>
      </c>
      <c r="AB86" s="31">
        <f>'льготный период'!K74</f>
        <v>0</v>
      </c>
      <c r="AC86" s="67">
        <f t="shared" si="23"/>
        <v>0</v>
      </c>
      <c r="AD86" s="31">
        <f>'льготный период'!W74</f>
        <v>0.27139999999999997</v>
      </c>
      <c r="AE86" s="31">
        <f>'льготный период'!Q75</f>
        <v>0.23910000000000001</v>
      </c>
      <c r="AF86" s="31">
        <f>'льготный период'!AC74</f>
        <v>0.2392</v>
      </c>
    </row>
    <row r="87" spans="1:32" x14ac:dyDescent="0.25">
      <c r="A87" s="28">
        <f t="shared" si="21"/>
        <v>69</v>
      </c>
      <c r="B87" s="66" t="str">
        <f t="shared" si="16"/>
        <v/>
      </c>
      <c r="C87" s="66">
        <f t="shared" si="22"/>
        <v>0</v>
      </c>
      <c r="D87" s="31">
        <f>IF($A$12=$A$16,' на весь срок'!I74,'льготный период'!H75)</f>
        <v>0</v>
      </c>
      <c r="E87" s="31">
        <f>IF($A$12=$A$16,' на весь срок'!C74,'льготный период'!B75)</f>
        <v>0</v>
      </c>
      <c r="F87" s="31">
        <f>' на весь срок'!S74</f>
        <v>9.9999999999999964E-2</v>
      </c>
      <c r="G87" s="31">
        <f>' на весь срок'!N76</f>
        <v>0</v>
      </c>
      <c r="H87" s="31">
        <f>' на весь срок'!W74</f>
        <v>0.10399999999999994</v>
      </c>
      <c r="I87" s="66">
        <f t="shared" si="17"/>
        <v>0</v>
      </c>
      <c r="J87" s="31">
        <f>' на весь срок'!J74</f>
        <v>0</v>
      </c>
      <c r="K87" s="31">
        <f>' на весь срок'!D74</f>
        <v>0</v>
      </c>
      <c r="L87" s="31">
        <f>' на весь срок'!T74</f>
        <v>0.30459999999999998</v>
      </c>
      <c r="M87" s="31">
        <f>' на весь срок'!O76</f>
        <v>0</v>
      </c>
      <c r="N87" s="31">
        <f>' на весь срок'!X74</f>
        <v>0.26919999999999999</v>
      </c>
      <c r="O87" s="66">
        <f t="shared" si="18"/>
        <v>0</v>
      </c>
      <c r="P87" s="31">
        <f>'льготный период'!I75</f>
        <v>0</v>
      </c>
      <c r="Q87" s="31">
        <f>'льготный период'!C75</f>
        <v>0</v>
      </c>
      <c r="R87" s="31">
        <f>'льготный период'!U75</f>
        <v>7.4200000000000002E-2</v>
      </c>
      <c r="S87" s="31">
        <f>'льготный период'!O76</f>
        <v>0</v>
      </c>
      <c r="T87" s="31">
        <f>'льготный период'!AA75</f>
        <v>6.5199999999999994E-2</v>
      </c>
      <c r="U87" s="66">
        <f t="shared" si="19"/>
        <v>0</v>
      </c>
      <c r="V87" s="31">
        <f>'льготный период'!J75</f>
        <v>0</v>
      </c>
      <c r="W87" s="31">
        <f>'льготный период'!D75</f>
        <v>0</v>
      </c>
      <c r="X87" s="31">
        <f>'льготный период'!V75</f>
        <v>0.1396</v>
      </c>
      <c r="Y87" s="31">
        <f>'льготный период'!P76</f>
        <v>0</v>
      </c>
      <c r="Z87" s="31">
        <f>'льготный период'!AB75</f>
        <v>0.1229</v>
      </c>
      <c r="AA87" s="66">
        <f t="shared" si="20"/>
        <v>0</v>
      </c>
      <c r="AB87" s="31">
        <f>'льготный период'!K75</f>
        <v>0</v>
      </c>
      <c r="AC87" s="67">
        <f t="shared" si="23"/>
        <v>0</v>
      </c>
      <c r="AD87" s="31">
        <f>'льготный период'!W75</f>
        <v>0.27489999999999998</v>
      </c>
      <c r="AE87" s="31">
        <f>'льготный период'!Q76</f>
        <v>0</v>
      </c>
      <c r="AF87" s="31">
        <f>'льготный период'!AC75</f>
        <v>0.2427</v>
      </c>
    </row>
    <row r="88" spans="1:32" x14ac:dyDescent="0.25">
      <c r="A88" s="28">
        <f t="shared" si="21"/>
        <v>70</v>
      </c>
      <c r="B88" s="66" t="str">
        <f t="shared" si="16"/>
        <v/>
      </c>
      <c r="C88" s="66">
        <f t="shared" si="22"/>
        <v>0</v>
      </c>
      <c r="D88" s="31">
        <f>IF($A$12=$A$16,' на весь срок'!I75,'льготный период'!H76)</f>
        <v>0</v>
      </c>
      <c r="E88" s="31">
        <f>IF($A$12=$A$16,' на весь срок'!C75,'льготный период'!B76)</f>
        <v>0</v>
      </c>
      <c r="F88" s="31">
        <f>' на весь срок'!S75</f>
        <v>0</v>
      </c>
      <c r="G88" s="31">
        <f>' на весь срок'!N77</f>
        <v>0</v>
      </c>
      <c r="H88" s="31">
        <f>' на весь срок'!W75</f>
        <v>0.10299999999999994</v>
      </c>
      <c r="I88" s="66">
        <f t="shared" si="17"/>
        <v>0</v>
      </c>
      <c r="J88" s="31">
        <f>' на весь срок'!J75</f>
        <v>0</v>
      </c>
      <c r="K88" s="31">
        <f>' на весь срок'!D75</f>
        <v>0</v>
      </c>
      <c r="L88" s="31">
        <f>' на весь срок'!T75</f>
        <v>0</v>
      </c>
      <c r="M88" s="31">
        <f>' на весь срок'!O77</f>
        <v>0</v>
      </c>
      <c r="N88" s="31">
        <f>' на весь срок'!X75</f>
        <v>0.27300000000000002</v>
      </c>
      <c r="O88" s="66">
        <f t="shared" si="18"/>
        <v>0</v>
      </c>
      <c r="P88" s="31">
        <f>'льготный период'!I76</f>
        <v>0</v>
      </c>
      <c r="Q88" s="31">
        <f>'льготный период'!C76</f>
        <v>0</v>
      </c>
      <c r="R88" s="31">
        <f>'льготный период'!U76</f>
        <v>0</v>
      </c>
      <c r="S88" s="31">
        <f>'льготный период'!O77</f>
        <v>0</v>
      </c>
      <c r="T88" s="31">
        <f>'льготный период'!AA76</f>
        <v>6.6199999999999995E-2</v>
      </c>
      <c r="U88" s="66">
        <f t="shared" si="19"/>
        <v>0</v>
      </c>
      <c r="V88" s="31">
        <f>'льготный период'!J76</f>
        <v>0</v>
      </c>
      <c r="W88" s="31">
        <f>'льготный период'!D76</f>
        <v>0</v>
      </c>
      <c r="X88" s="31">
        <f>'льготный период'!V76</f>
        <v>0</v>
      </c>
      <c r="Y88" s="31">
        <f>'льготный период'!P77</f>
        <v>0</v>
      </c>
      <c r="Z88" s="31">
        <f>'льготный период'!AB76</f>
        <v>0.12470000000000001</v>
      </c>
      <c r="AA88" s="66">
        <f t="shared" si="20"/>
        <v>0</v>
      </c>
      <c r="AB88" s="31">
        <f>'льготный период'!K76</f>
        <v>0</v>
      </c>
      <c r="AC88" s="67">
        <f t="shared" si="23"/>
        <v>0</v>
      </c>
      <c r="AD88" s="31">
        <f>'льготный период'!W76</f>
        <v>0</v>
      </c>
      <c r="AE88" s="31">
        <f>'льготный период'!Q77</f>
        <v>0</v>
      </c>
      <c r="AF88" s="31">
        <f>'льготный период'!AC76</f>
        <v>0.24610000000000001</v>
      </c>
    </row>
    <row r="89" spans="1:32" x14ac:dyDescent="0.25">
      <c r="A89" s="28">
        <f t="shared" si="21"/>
        <v>71</v>
      </c>
      <c r="B89" s="66" t="str">
        <f t="shared" si="16"/>
        <v/>
      </c>
      <c r="C89" s="66">
        <f t="shared" si="22"/>
        <v>0</v>
      </c>
      <c r="D89" s="31">
        <f>IF($A$12=$A$16,' на весь срок'!I76,'льготный период'!H77)</f>
        <v>0</v>
      </c>
      <c r="E89" s="31">
        <f>IF($A$12=$A$16,' на весь срок'!C76,'льготный период'!B77)</f>
        <v>0</v>
      </c>
      <c r="F89" s="31">
        <f>' на весь срок'!S76</f>
        <v>0</v>
      </c>
      <c r="G89" s="31">
        <f>' на весь срок'!N78</f>
        <v>0</v>
      </c>
      <c r="H89" s="31">
        <f>' на весь срок'!W76</f>
        <v>0.10199999999999994</v>
      </c>
      <c r="I89" s="66">
        <f t="shared" si="17"/>
        <v>0</v>
      </c>
      <c r="J89" s="31">
        <f>' на весь срок'!J76</f>
        <v>0</v>
      </c>
      <c r="K89" s="31">
        <f>' на весь срок'!D76</f>
        <v>0</v>
      </c>
      <c r="L89" s="31">
        <f>' на весь срок'!T76</f>
        <v>0</v>
      </c>
      <c r="M89" s="31">
        <f>' на весь срок'!O78</f>
        <v>0</v>
      </c>
      <c r="N89" s="31">
        <f>' на весь срок'!X76</f>
        <v>0.2767</v>
      </c>
      <c r="O89" s="66">
        <f t="shared" si="18"/>
        <v>0</v>
      </c>
      <c r="P89" s="31">
        <f>'льготный период'!I77</f>
        <v>0</v>
      </c>
      <c r="Q89" s="31">
        <f>'льготный период'!C77</f>
        <v>0</v>
      </c>
      <c r="R89" s="31">
        <f>'льготный период'!U77</f>
        <v>0</v>
      </c>
      <c r="S89" s="31">
        <f>'льготный период'!O78</f>
        <v>0</v>
      </c>
      <c r="T89" s="31">
        <f>'льготный период'!AA77</f>
        <v>6.7199999999999996E-2</v>
      </c>
      <c r="U89" s="66">
        <f t="shared" si="19"/>
        <v>0</v>
      </c>
      <c r="V89" s="31">
        <f>'льготный период'!J77</f>
        <v>0</v>
      </c>
      <c r="W89" s="31">
        <f>'льготный период'!D77</f>
        <v>0</v>
      </c>
      <c r="X89" s="31">
        <f>'льготный период'!V77</f>
        <v>0</v>
      </c>
      <c r="Y89" s="31">
        <f>'льготный период'!P78</f>
        <v>0</v>
      </c>
      <c r="Z89" s="31">
        <f>'льготный период'!AB77</f>
        <v>0.1265</v>
      </c>
      <c r="AA89" s="66">
        <f t="shared" si="20"/>
        <v>0</v>
      </c>
      <c r="AB89" s="31">
        <f>'льготный период'!K77</f>
        <v>0</v>
      </c>
      <c r="AC89" s="67">
        <f t="shared" si="23"/>
        <v>0</v>
      </c>
      <c r="AD89" s="31">
        <f>'льготный период'!W77</f>
        <v>0</v>
      </c>
      <c r="AE89" s="31">
        <f>'льготный период'!Q78</f>
        <v>0</v>
      </c>
      <c r="AF89" s="31">
        <f>'льготный период'!AC77</f>
        <v>0.2495</v>
      </c>
    </row>
    <row r="90" spans="1:32" x14ac:dyDescent="0.25">
      <c r="A90" s="28">
        <f t="shared" si="21"/>
        <v>72</v>
      </c>
      <c r="B90" s="66" t="str">
        <f t="shared" si="16"/>
        <v/>
      </c>
      <c r="C90" s="66">
        <f t="shared" si="22"/>
        <v>0</v>
      </c>
      <c r="D90" s="31">
        <f>IF($A$12=$A$16,' на весь срок'!I77,'льготный период'!H78)</f>
        <v>0</v>
      </c>
      <c r="E90" s="31">
        <f>IF($A$12=$A$16,' на весь срок'!C77,'льготный период'!B78)</f>
        <v>0</v>
      </c>
      <c r="F90" s="31">
        <f>' на весь срок'!S77</f>
        <v>0</v>
      </c>
      <c r="G90" s="31">
        <f>' на весь срок'!N79</f>
        <v>0</v>
      </c>
      <c r="H90" s="31">
        <f>' на весь срок'!W77</f>
        <v>0.10099999999999994</v>
      </c>
      <c r="I90" s="66">
        <f t="shared" si="17"/>
        <v>0</v>
      </c>
      <c r="J90" s="31">
        <f>' на весь срок'!J77</f>
        <v>0</v>
      </c>
      <c r="K90" s="31">
        <f>' на весь срок'!D77</f>
        <v>0</v>
      </c>
      <c r="L90" s="31">
        <f>' на весь срок'!T77</f>
        <v>0</v>
      </c>
      <c r="M90" s="31">
        <f>' на весь срок'!O79</f>
        <v>0</v>
      </c>
      <c r="N90" s="31">
        <f>' на весь срок'!X77</f>
        <v>0.28050000000000003</v>
      </c>
      <c r="O90" s="66">
        <f t="shared" si="18"/>
        <v>0</v>
      </c>
      <c r="P90" s="31">
        <f>'льготный период'!I78</f>
        <v>0</v>
      </c>
      <c r="Q90" s="31">
        <f>'льготный период'!C78</f>
        <v>0</v>
      </c>
      <c r="R90" s="31">
        <f>'льготный период'!U78</f>
        <v>0</v>
      </c>
      <c r="S90" s="31">
        <f>'льготный период'!O79</f>
        <v>0</v>
      </c>
      <c r="T90" s="31">
        <f>'льготный период'!AA78</f>
        <v>6.8099999999999994E-2</v>
      </c>
      <c r="U90" s="66">
        <f t="shared" si="19"/>
        <v>0</v>
      </c>
      <c r="V90" s="31">
        <f>'льготный период'!J78</f>
        <v>0</v>
      </c>
      <c r="W90" s="31">
        <f>'льготный период'!D78</f>
        <v>0</v>
      </c>
      <c r="X90" s="31">
        <f>'льготный период'!V78</f>
        <v>0</v>
      </c>
      <c r="Y90" s="31">
        <f>'льготный период'!P79</f>
        <v>0</v>
      </c>
      <c r="Z90" s="31">
        <f>'льготный период'!AB78</f>
        <v>0.1283</v>
      </c>
      <c r="AA90" s="66">
        <f t="shared" si="20"/>
        <v>0</v>
      </c>
      <c r="AB90" s="31">
        <f>'льготный период'!K78</f>
        <v>0</v>
      </c>
      <c r="AC90" s="67">
        <f t="shared" si="23"/>
        <v>0</v>
      </c>
      <c r="AD90" s="31">
        <f>'льготный период'!W78</f>
        <v>0</v>
      </c>
      <c r="AE90" s="31">
        <f>'льготный период'!Q79</f>
        <v>0</v>
      </c>
      <c r="AF90" s="31">
        <f>'льготный период'!AC78</f>
        <v>0.253</v>
      </c>
    </row>
    <row r="91" spans="1:32" x14ac:dyDescent="0.25">
      <c r="A91" s="28">
        <f t="shared" si="21"/>
        <v>73</v>
      </c>
      <c r="B91" s="66" t="str">
        <f t="shared" si="16"/>
        <v/>
      </c>
      <c r="C91" s="66">
        <f t="shared" si="22"/>
        <v>0</v>
      </c>
      <c r="D91" s="31">
        <f>IF($A$12=$A$16,' на весь срок'!I78,'льготный период'!H79)</f>
        <v>0</v>
      </c>
      <c r="E91" s="31">
        <f>IF($A$12=$A$16,' на весь срок'!C78,'льготный период'!B79)</f>
        <v>0</v>
      </c>
      <c r="F91" s="31">
        <f>' на весь срок'!S78</f>
        <v>0</v>
      </c>
      <c r="G91" s="31">
        <f>' на весь срок'!N80</f>
        <v>0</v>
      </c>
      <c r="H91" s="31">
        <f>' на весь срок'!W78</f>
        <v>9.9999999999999936E-2</v>
      </c>
      <c r="I91" s="66">
        <f t="shared" si="17"/>
        <v>0</v>
      </c>
      <c r="J91" s="31">
        <f>' на весь срок'!J78</f>
        <v>0</v>
      </c>
      <c r="K91" s="31">
        <f>' на весь срок'!D78</f>
        <v>0</v>
      </c>
      <c r="L91" s="31">
        <f>' на весь срок'!T78</f>
        <v>0</v>
      </c>
      <c r="M91" s="31">
        <f>' на весь срок'!O80</f>
        <v>0</v>
      </c>
      <c r="N91" s="31">
        <f>' на весь срок'!X78</f>
        <v>0.2843</v>
      </c>
      <c r="O91" s="66">
        <f t="shared" si="18"/>
        <v>0</v>
      </c>
      <c r="P91" s="31">
        <f>'льготный период'!I79</f>
        <v>0</v>
      </c>
      <c r="Q91" s="31">
        <f>'льготный период'!C79</f>
        <v>0</v>
      </c>
      <c r="R91" s="31">
        <f>'льготный период'!U79</f>
        <v>0</v>
      </c>
      <c r="S91" s="31">
        <f>'льготный период'!O80</f>
        <v>0</v>
      </c>
      <c r="T91" s="31">
        <f>'льготный период'!AA79</f>
        <v>6.9099999999999995E-2</v>
      </c>
      <c r="U91" s="66">
        <f t="shared" si="19"/>
        <v>0</v>
      </c>
      <c r="V91" s="31">
        <f>'льготный период'!J79</f>
        <v>0</v>
      </c>
      <c r="W91" s="31">
        <f>'льготный период'!D79</f>
        <v>0</v>
      </c>
      <c r="X91" s="31">
        <f>'льготный период'!V79</f>
        <v>0</v>
      </c>
      <c r="Y91" s="31">
        <f>'льготный период'!P80</f>
        <v>0</v>
      </c>
      <c r="Z91" s="31">
        <f>'льготный период'!AB79</f>
        <v>0.13009999999999999</v>
      </c>
      <c r="AA91" s="66">
        <f t="shared" si="20"/>
        <v>0</v>
      </c>
      <c r="AB91" s="31">
        <f>'льготный период'!K79</f>
        <v>0</v>
      </c>
      <c r="AC91" s="67">
        <f t="shared" si="23"/>
        <v>0</v>
      </c>
      <c r="AD91" s="31">
        <f>'льготный период'!W79</f>
        <v>0</v>
      </c>
      <c r="AE91" s="31">
        <f>'льготный период'!Q80</f>
        <v>0</v>
      </c>
      <c r="AF91" s="31">
        <f>'льготный период'!AC79</f>
        <v>0.25640000000000002</v>
      </c>
    </row>
    <row r="92" spans="1:32" x14ac:dyDescent="0.25">
      <c r="A92" s="28">
        <f t="shared" si="21"/>
        <v>74</v>
      </c>
      <c r="B92" s="66" t="str">
        <f t="shared" si="16"/>
        <v/>
      </c>
      <c r="C92" s="66">
        <f t="shared" si="22"/>
        <v>0</v>
      </c>
      <c r="D92" s="31">
        <f>IF($A$12=$A$16,' на весь срок'!I79,'льготный период'!H80)</f>
        <v>0</v>
      </c>
      <c r="E92" s="31">
        <f>IF($A$12=$A$16,' на весь срок'!C79,'льготный период'!B80)</f>
        <v>0</v>
      </c>
      <c r="F92" s="31">
        <f>' на весь срок'!S79</f>
        <v>0</v>
      </c>
      <c r="G92" s="31">
        <f>' на весь срок'!N81</f>
        <v>0</v>
      </c>
      <c r="H92" s="31">
        <f>' на весь срок'!W79</f>
        <v>0</v>
      </c>
      <c r="I92" s="66">
        <f t="shared" si="17"/>
        <v>0</v>
      </c>
      <c r="J92" s="31">
        <f>' на весь срок'!J79</f>
        <v>0</v>
      </c>
      <c r="K92" s="31">
        <f>' на весь срок'!D79</f>
        <v>0</v>
      </c>
      <c r="L92" s="31">
        <f>' на весь срок'!T79</f>
        <v>0</v>
      </c>
      <c r="M92" s="31">
        <f>' на весь срок'!O81</f>
        <v>0</v>
      </c>
      <c r="N92" s="31">
        <f>' на весь срок'!X79</f>
        <v>0</v>
      </c>
      <c r="O92" s="66">
        <f t="shared" si="18"/>
        <v>0</v>
      </c>
      <c r="P92" s="31">
        <f>'льготный период'!I80</f>
        <v>0</v>
      </c>
      <c r="Q92" s="31">
        <f>'льготный период'!C80</f>
        <v>0</v>
      </c>
      <c r="R92" s="31">
        <f>'льготный период'!U80</f>
        <v>0</v>
      </c>
      <c r="S92" s="31">
        <f>'льготный период'!O81</f>
        <v>0</v>
      </c>
      <c r="T92" s="31">
        <f>'льготный период'!AA80</f>
        <v>0</v>
      </c>
      <c r="U92" s="66">
        <f t="shared" si="19"/>
        <v>0</v>
      </c>
      <c r="V92" s="31">
        <f>'льготный период'!J80</f>
        <v>0</v>
      </c>
      <c r="W92" s="31">
        <f>'льготный период'!D80</f>
        <v>0</v>
      </c>
      <c r="X92" s="31">
        <f>'льготный период'!V80</f>
        <v>0</v>
      </c>
      <c r="Y92" s="31">
        <f>'льготный период'!P81</f>
        <v>0</v>
      </c>
      <c r="Z92" s="31">
        <f>'льготный период'!AB80</f>
        <v>0</v>
      </c>
      <c r="AA92" s="66">
        <f t="shared" si="20"/>
        <v>0</v>
      </c>
      <c r="AB92" s="31">
        <f>'льготный период'!K80</f>
        <v>0</v>
      </c>
      <c r="AC92" s="67">
        <f t="shared" si="23"/>
        <v>0</v>
      </c>
      <c r="AD92" s="31">
        <f>'льготный период'!W80</f>
        <v>0</v>
      </c>
      <c r="AE92" s="31">
        <f>'льготный период'!Q81</f>
        <v>0</v>
      </c>
      <c r="AF92" s="31">
        <f>'льготный период'!AC80</f>
        <v>0</v>
      </c>
    </row>
    <row r="93" spans="1:32" x14ac:dyDescent="0.25">
      <c r="A93" s="28">
        <f t="shared" si="21"/>
        <v>75</v>
      </c>
      <c r="B93" s="66" t="str">
        <f t="shared" si="16"/>
        <v/>
      </c>
      <c r="C93" s="66">
        <f t="shared" si="22"/>
        <v>0</v>
      </c>
      <c r="D93" s="31">
        <f>IF($A$12=$A$16,' на весь срок'!I80,'льготный период'!H81)</f>
        <v>0</v>
      </c>
      <c r="E93" s="31">
        <f>IF($A$12=$A$16,' на весь срок'!C80,'льготный период'!B81)</f>
        <v>0</v>
      </c>
      <c r="F93" s="31">
        <f>' на весь срок'!S80</f>
        <v>0</v>
      </c>
      <c r="G93" s="31">
        <f>' на весь срок'!N82</f>
        <v>0</v>
      </c>
      <c r="H93" s="31">
        <f>' на весь срок'!W80</f>
        <v>0</v>
      </c>
      <c r="I93" s="66">
        <f t="shared" si="17"/>
        <v>0</v>
      </c>
      <c r="J93" s="31">
        <f>' на весь срок'!J80</f>
        <v>0</v>
      </c>
      <c r="K93" s="31">
        <f>' на весь срок'!D80</f>
        <v>0</v>
      </c>
      <c r="L93" s="31">
        <f>' на весь срок'!T80</f>
        <v>0</v>
      </c>
      <c r="M93" s="31">
        <f>' на весь срок'!O82</f>
        <v>0</v>
      </c>
      <c r="N93" s="31">
        <f>' на весь срок'!X80</f>
        <v>0</v>
      </c>
      <c r="O93" s="66">
        <f t="shared" si="18"/>
        <v>0</v>
      </c>
      <c r="P93" s="31">
        <f>'льготный период'!I81</f>
        <v>0</v>
      </c>
      <c r="Q93" s="31">
        <f>'льготный период'!C81</f>
        <v>0</v>
      </c>
      <c r="R93" s="31">
        <f>'льготный период'!U81</f>
        <v>0</v>
      </c>
      <c r="S93" s="31">
        <f>'льготный период'!O82</f>
        <v>0</v>
      </c>
      <c r="T93" s="31">
        <f>'льготный период'!AA81</f>
        <v>0</v>
      </c>
      <c r="U93" s="66">
        <f t="shared" si="19"/>
        <v>0</v>
      </c>
      <c r="V93" s="31">
        <f>'льготный период'!J81</f>
        <v>0</v>
      </c>
      <c r="W93" s="31">
        <f>'льготный период'!D81</f>
        <v>0</v>
      </c>
      <c r="X93" s="31">
        <f>'льготный период'!V81</f>
        <v>0</v>
      </c>
      <c r="Y93" s="31">
        <f>'льготный период'!P82</f>
        <v>0</v>
      </c>
      <c r="Z93" s="31">
        <f>'льготный период'!AB81</f>
        <v>0</v>
      </c>
      <c r="AA93" s="66">
        <f t="shared" si="20"/>
        <v>0</v>
      </c>
      <c r="AB93" s="31">
        <f>'льготный период'!K81</f>
        <v>0</v>
      </c>
      <c r="AC93" s="67">
        <f t="shared" si="23"/>
        <v>0</v>
      </c>
      <c r="AD93" s="31">
        <f>'льготный период'!W81</f>
        <v>0</v>
      </c>
      <c r="AE93" s="31">
        <f>'льготный период'!Q82</f>
        <v>0</v>
      </c>
      <c r="AF93" s="31">
        <f>'льготный период'!AC81</f>
        <v>0</v>
      </c>
    </row>
    <row r="94" spans="1:32" x14ac:dyDescent="0.25">
      <c r="A94" s="28">
        <f t="shared" si="21"/>
        <v>76</v>
      </c>
      <c r="B94" s="66" t="str">
        <f t="shared" si="16"/>
        <v/>
      </c>
      <c r="C94" s="66">
        <f t="shared" si="22"/>
        <v>0</v>
      </c>
      <c r="D94" s="31">
        <f>IF($A$12=$A$16,' на весь срок'!I81,'льготный период'!H82)</f>
        <v>0</v>
      </c>
      <c r="E94" s="31">
        <f>IF($A$12=$A$16,' на весь срок'!C81,'льготный период'!B82)</f>
        <v>0</v>
      </c>
      <c r="F94" s="31">
        <f>' на весь срок'!S81</f>
        <v>0</v>
      </c>
      <c r="G94" s="31">
        <f>' на весь срок'!N83</f>
        <v>0</v>
      </c>
      <c r="H94" s="31">
        <f>' на весь срок'!W81</f>
        <v>0</v>
      </c>
      <c r="I94" s="66">
        <f t="shared" si="17"/>
        <v>0</v>
      </c>
      <c r="J94" s="31">
        <f>' на весь срок'!J81</f>
        <v>0</v>
      </c>
      <c r="K94" s="31">
        <f>' на весь срок'!D81</f>
        <v>0</v>
      </c>
      <c r="L94" s="31">
        <f>' на весь срок'!T81</f>
        <v>0</v>
      </c>
      <c r="M94" s="31">
        <f>' на весь срок'!O83</f>
        <v>0</v>
      </c>
      <c r="N94" s="31">
        <f>' на весь срок'!X81</f>
        <v>0</v>
      </c>
      <c r="O94" s="66">
        <f t="shared" si="18"/>
        <v>0</v>
      </c>
      <c r="P94" s="31">
        <f>'льготный период'!I82</f>
        <v>0</v>
      </c>
      <c r="Q94" s="31">
        <f>'льготный период'!C82</f>
        <v>0</v>
      </c>
      <c r="R94" s="31">
        <f>'льготный период'!U82</f>
        <v>0</v>
      </c>
      <c r="S94" s="31">
        <f>'льготный период'!O83</f>
        <v>0</v>
      </c>
      <c r="T94" s="31">
        <f>'льготный период'!AA82</f>
        <v>0</v>
      </c>
      <c r="U94" s="66">
        <f t="shared" si="19"/>
        <v>0</v>
      </c>
      <c r="V94" s="31">
        <f>'льготный период'!J82</f>
        <v>0</v>
      </c>
      <c r="W94" s="31">
        <f>'льготный период'!D82</f>
        <v>0</v>
      </c>
      <c r="X94" s="31">
        <f>'льготный период'!V82</f>
        <v>0</v>
      </c>
      <c r="Y94" s="31">
        <f>'льготный период'!P83</f>
        <v>0</v>
      </c>
      <c r="Z94" s="31">
        <f>'льготный период'!AB82</f>
        <v>0</v>
      </c>
      <c r="AA94" s="66">
        <f t="shared" si="20"/>
        <v>0</v>
      </c>
      <c r="AB94" s="31">
        <f>'льготный период'!K82</f>
        <v>0</v>
      </c>
      <c r="AC94" s="67">
        <f t="shared" si="23"/>
        <v>0</v>
      </c>
      <c r="AD94" s="31">
        <f>'льготный период'!W82</f>
        <v>0</v>
      </c>
      <c r="AE94" s="31">
        <f>'льготный период'!Q83</f>
        <v>0</v>
      </c>
      <c r="AF94" s="31">
        <f>'льготный период'!AC82</f>
        <v>0</v>
      </c>
    </row>
    <row r="95" spans="1:32" x14ac:dyDescent="0.25">
      <c r="A95" s="28">
        <f t="shared" si="21"/>
        <v>77</v>
      </c>
      <c r="B95" s="66" t="str">
        <f t="shared" si="16"/>
        <v/>
      </c>
      <c r="C95" s="66">
        <f t="shared" si="22"/>
        <v>0</v>
      </c>
      <c r="D95" s="31">
        <f>IF($A$12=$A$16,' на весь срок'!I82,'льготный период'!H83)</f>
        <v>0</v>
      </c>
      <c r="E95" s="31">
        <f>IF($A$12=$A$16,' на весь срок'!C82,'льготный период'!B83)</f>
        <v>0</v>
      </c>
      <c r="F95" s="31">
        <f>' на весь срок'!S82</f>
        <v>0</v>
      </c>
      <c r="G95" s="31">
        <f>' на весь срок'!N84</f>
        <v>0</v>
      </c>
      <c r="H95" s="31">
        <f>' на весь срок'!W82</f>
        <v>0</v>
      </c>
      <c r="I95" s="66">
        <f t="shared" si="17"/>
        <v>0</v>
      </c>
      <c r="J95" s="31">
        <f>' на весь срок'!J82</f>
        <v>0</v>
      </c>
      <c r="K95" s="31">
        <f>' на весь срок'!D82</f>
        <v>0</v>
      </c>
      <c r="L95" s="31">
        <f>' на весь срок'!T82</f>
        <v>0</v>
      </c>
      <c r="M95" s="31">
        <f>' на весь срок'!O84</f>
        <v>0</v>
      </c>
      <c r="N95" s="31">
        <f>' на весь срок'!X82</f>
        <v>0</v>
      </c>
      <c r="O95" s="66">
        <f t="shared" si="18"/>
        <v>0</v>
      </c>
      <c r="P95" s="31">
        <f>'льготный период'!I83</f>
        <v>0</v>
      </c>
      <c r="Q95" s="31">
        <f>'льготный период'!C83</f>
        <v>0</v>
      </c>
      <c r="R95" s="31">
        <f>'льготный период'!U83</f>
        <v>0</v>
      </c>
      <c r="S95" s="31">
        <f>'льготный период'!O84</f>
        <v>0</v>
      </c>
      <c r="T95" s="31">
        <f>'льготный период'!AA83</f>
        <v>0</v>
      </c>
      <c r="U95" s="66">
        <f t="shared" si="19"/>
        <v>0</v>
      </c>
      <c r="V95" s="31">
        <f>'льготный период'!J83</f>
        <v>0</v>
      </c>
      <c r="W95" s="31">
        <f>'льготный период'!D83</f>
        <v>0</v>
      </c>
      <c r="X95" s="31">
        <f>'льготный период'!V83</f>
        <v>0</v>
      </c>
      <c r="Y95" s="31">
        <f>'льготный период'!P84</f>
        <v>0</v>
      </c>
      <c r="Z95" s="31">
        <f>'льготный период'!AB83</f>
        <v>0</v>
      </c>
      <c r="AA95" s="66">
        <f t="shared" si="20"/>
        <v>0</v>
      </c>
      <c r="AB95" s="31">
        <f>'льготный период'!K83</f>
        <v>0</v>
      </c>
      <c r="AC95" s="67">
        <f t="shared" si="23"/>
        <v>0</v>
      </c>
      <c r="AD95" s="31">
        <f>'льготный период'!W83</f>
        <v>0</v>
      </c>
      <c r="AE95" s="31">
        <f>'льготный период'!Q84</f>
        <v>0</v>
      </c>
      <c r="AF95" s="31">
        <f>'льготный период'!AC83</f>
        <v>0</v>
      </c>
    </row>
    <row r="96" spans="1:32" x14ac:dyDescent="0.25">
      <c r="A96" s="28">
        <f>A95+1</f>
        <v>78</v>
      </c>
      <c r="B96" s="66" t="str">
        <f t="shared" si="16"/>
        <v/>
      </c>
      <c r="C96" s="66">
        <f t="shared" si="22"/>
        <v>0</v>
      </c>
      <c r="D96" s="31">
        <f>IF($A$12=$A$16,' на весь срок'!I83,'льготный период'!H84)</f>
        <v>0</v>
      </c>
      <c r="E96" s="31">
        <f>IF($A$12=$A$16,' на весь срок'!C83,'льготный период'!B84)</f>
        <v>0</v>
      </c>
      <c r="F96" s="31">
        <f>' на весь срок'!S83</f>
        <v>0</v>
      </c>
      <c r="G96" s="31">
        <f>' на весь срок'!N85</f>
        <v>0</v>
      </c>
      <c r="H96" s="31">
        <f>' на весь срок'!W83</f>
        <v>0</v>
      </c>
      <c r="I96" s="66">
        <f t="shared" si="17"/>
        <v>0</v>
      </c>
      <c r="J96" s="31">
        <f>' на весь срок'!J83</f>
        <v>0</v>
      </c>
      <c r="K96" s="31">
        <f>' на весь срок'!D83</f>
        <v>0</v>
      </c>
      <c r="L96" s="31">
        <f>' на весь срок'!T83</f>
        <v>0</v>
      </c>
      <c r="M96" s="31">
        <f>' на весь срок'!O85</f>
        <v>0</v>
      </c>
      <c r="N96" s="31">
        <f>' на весь срок'!X83</f>
        <v>0</v>
      </c>
      <c r="O96" s="66">
        <f t="shared" si="18"/>
        <v>0</v>
      </c>
      <c r="P96" s="31">
        <f>'льготный период'!I84</f>
        <v>0</v>
      </c>
      <c r="Q96" s="31">
        <f>'льготный период'!C84</f>
        <v>0</v>
      </c>
      <c r="R96" s="31">
        <f>'льготный период'!U84</f>
        <v>0</v>
      </c>
      <c r="S96" s="31">
        <f>'льготный период'!O85</f>
        <v>0</v>
      </c>
      <c r="T96" s="31">
        <f>'льготный период'!AA84</f>
        <v>0</v>
      </c>
      <c r="U96" s="66">
        <f t="shared" si="19"/>
        <v>0</v>
      </c>
      <c r="V96" s="31">
        <f>'льготный период'!J84</f>
        <v>0</v>
      </c>
      <c r="W96" s="31">
        <f>'льготный период'!D84</f>
        <v>0</v>
      </c>
      <c r="X96" s="31">
        <f>'льготный период'!V84</f>
        <v>0</v>
      </c>
      <c r="Y96" s="31">
        <f>'льготный период'!P85</f>
        <v>0</v>
      </c>
      <c r="Z96" s="31">
        <f>'льготный период'!AB84</f>
        <v>0</v>
      </c>
      <c r="AA96" s="66">
        <f t="shared" si="20"/>
        <v>0</v>
      </c>
      <c r="AB96" s="31">
        <f>'льготный период'!K84</f>
        <v>0</v>
      </c>
      <c r="AC96" s="67">
        <f t="shared" si="23"/>
        <v>0</v>
      </c>
      <c r="AD96" s="31">
        <f>'льготный период'!W84</f>
        <v>0</v>
      </c>
      <c r="AE96" s="31">
        <f>'льготный период'!Q85</f>
        <v>0</v>
      </c>
      <c r="AF96" s="31">
        <f>'льготный период'!AC84</f>
        <v>0</v>
      </c>
    </row>
    <row r="97" spans="1:32" x14ac:dyDescent="0.25">
      <c r="A97" s="28">
        <f t="shared" ref="A97:A106" si="24">A96+1</f>
        <v>79</v>
      </c>
      <c r="B97" s="66" t="str">
        <f t="shared" si="16"/>
        <v/>
      </c>
      <c r="C97" s="66">
        <f t="shared" si="22"/>
        <v>0</v>
      </c>
      <c r="D97" s="31">
        <f>IF($A$12=$A$16,' на весь срок'!I84,'льготный период'!H85)</f>
        <v>0</v>
      </c>
      <c r="E97" s="31">
        <f>IF($A$12=$A$16,' на весь срок'!C84,'льготный период'!B85)</f>
        <v>0</v>
      </c>
      <c r="F97" s="31">
        <f>' на весь срок'!S84</f>
        <v>0</v>
      </c>
      <c r="G97" s="31">
        <f>' на весь срок'!N86</f>
        <v>0</v>
      </c>
      <c r="H97" s="31">
        <f>' на весь срок'!W84</f>
        <v>0</v>
      </c>
      <c r="I97" s="66">
        <f t="shared" si="17"/>
        <v>0</v>
      </c>
      <c r="J97" s="31">
        <f>' на весь срок'!J84</f>
        <v>0</v>
      </c>
      <c r="K97" s="31">
        <f>' на весь срок'!D84</f>
        <v>0</v>
      </c>
      <c r="L97" s="31">
        <f>' на весь срок'!T84</f>
        <v>0</v>
      </c>
      <c r="M97" s="31">
        <f>' на весь срок'!O86</f>
        <v>0</v>
      </c>
      <c r="N97" s="31">
        <f>' на весь срок'!X84</f>
        <v>0</v>
      </c>
      <c r="O97" s="66">
        <f t="shared" si="18"/>
        <v>0</v>
      </c>
      <c r="P97" s="31">
        <f>'льготный период'!I85</f>
        <v>0</v>
      </c>
      <c r="Q97" s="31">
        <f>'льготный период'!C85</f>
        <v>0</v>
      </c>
      <c r="R97" s="31">
        <f>'льготный период'!U85</f>
        <v>0</v>
      </c>
      <c r="S97" s="31">
        <f>'льготный период'!O86</f>
        <v>0</v>
      </c>
      <c r="T97" s="31">
        <f>'льготный период'!AA85</f>
        <v>0</v>
      </c>
      <c r="U97" s="66">
        <f t="shared" si="19"/>
        <v>0</v>
      </c>
      <c r="V97" s="31">
        <f>'льготный период'!J85</f>
        <v>0</v>
      </c>
      <c r="W97" s="31">
        <f>'льготный период'!D85</f>
        <v>0</v>
      </c>
      <c r="X97" s="31">
        <f>'льготный период'!V85</f>
        <v>0</v>
      </c>
      <c r="Y97" s="31">
        <f>'льготный период'!P86</f>
        <v>0</v>
      </c>
      <c r="Z97" s="31">
        <f>'льготный период'!AB85</f>
        <v>0</v>
      </c>
      <c r="AA97" s="66">
        <f t="shared" si="20"/>
        <v>0</v>
      </c>
      <c r="AB97" s="31">
        <f>'льготный период'!K85</f>
        <v>0</v>
      </c>
      <c r="AC97" s="67">
        <f t="shared" si="23"/>
        <v>0</v>
      </c>
      <c r="AD97" s="31">
        <f>'льготный период'!W85</f>
        <v>0</v>
      </c>
      <c r="AE97" s="31">
        <f>'льготный период'!Q86</f>
        <v>0</v>
      </c>
      <c r="AF97" s="31">
        <f>'льготный период'!AC85</f>
        <v>0</v>
      </c>
    </row>
    <row r="98" spans="1:32" x14ac:dyDescent="0.25">
      <c r="A98" s="28">
        <f t="shared" si="24"/>
        <v>80</v>
      </c>
      <c r="B98" s="66" t="str">
        <f t="shared" si="16"/>
        <v/>
      </c>
      <c r="C98" s="66">
        <f t="shared" si="22"/>
        <v>0</v>
      </c>
      <c r="D98" s="31">
        <f>IF($A$12=$A$16,' на весь срок'!I85,'льготный период'!H86)</f>
        <v>0</v>
      </c>
      <c r="E98" s="31">
        <f>IF($A$12=$A$16,' на весь срок'!C85,'льготный период'!B86)</f>
        <v>0</v>
      </c>
      <c r="F98" s="31">
        <f>' на весь срок'!S85</f>
        <v>0</v>
      </c>
      <c r="G98" s="31">
        <f>' на весь срок'!N87</f>
        <v>0</v>
      </c>
      <c r="H98" s="31">
        <f>' на весь срок'!W85</f>
        <v>0</v>
      </c>
      <c r="I98" s="66">
        <f t="shared" si="17"/>
        <v>0</v>
      </c>
      <c r="J98" s="31">
        <f>' на весь срок'!J85</f>
        <v>0</v>
      </c>
      <c r="K98" s="31">
        <f>' на весь срок'!D85</f>
        <v>0</v>
      </c>
      <c r="L98" s="31">
        <f>' на весь срок'!T85</f>
        <v>0</v>
      </c>
      <c r="M98" s="31">
        <f>' на весь срок'!O87</f>
        <v>0</v>
      </c>
      <c r="N98" s="31">
        <f>' на весь срок'!X85</f>
        <v>0</v>
      </c>
      <c r="O98" s="66">
        <f t="shared" si="18"/>
        <v>0</v>
      </c>
      <c r="P98" s="31">
        <f>'льготный период'!I86</f>
        <v>0</v>
      </c>
      <c r="Q98" s="31">
        <f>'льготный период'!C86</f>
        <v>0</v>
      </c>
      <c r="R98" s="31">
        <f>'льготный период'!U86</f>
        <v>0</v>
      </c>
      <c r="S98" s="31">
        <f>'льготный период'!O87</f>
        <v>0</v>
      </c>
      <c r="T98" s="31">
        <f>'льготный период'!AA86</f>
        <v>0</v>
      </c>
      <c r="U98" s="66">
        <f t="shared" si="19"/>
        <v>0</v>
      </c>
      <c r="V98" s="31">
        <f>'льготный период'!J86</f>
        <v>0</v>
      </c>
      <c r="W98" s="31">
        <f>'льготный период'!D86</f>
        <v>0</v>
      </c>
      <c r="X98" s="31">
        <f>'льготный период'!V86</f>
        <v>0</v>
      </c>
      <c r="Y98" s="31">
        <f>'льготный период'!P87</f>
        <v>0</v>
      </c>
      <c r="Z98" s="31">
        <f>'льготный период'!AB86</f>
        <v>0</v>
      </c>
      <c r="AA98" s="66">
        <f t="shared" si="20"/>
        <v>0</v>
      </c>
      <c r="AB98" s="31">
        <f>'льготный период'!K86</f>
        <v>0</v>
      </c>
      <c r="AC98" s="67">
        <f t="shared" si="23"/>
        <v>0</v>
      </c>
      <c r="AD98" s="31">
        <f>'льготный период'!W86</f>
        <v>0</v>
      </c>
      <c r="AE98" s="31">
        <f>'льготный период'!Q87</f>
        <v>0</v>
      </c>
      <c r="AF98" s="31">
        <f>'льготный период'!AC86</f>
        <v>0</v>
      </c>
    </row>
    <row r="99" spans="1:32" x14ac:dyDescent="0.25">
      <c r="A99" s="28">
        <f t="shared" si="24"/>
        <v>81</v>
      </c>
      <c r="B99" s="66" t="str">
        <f t="shared" si="16"/>
        <v/>
      </c>
      <c r="C99" s="66">
        <f t="shared" si="22"/>
        <v>0</v>
      </c>
      <c r="D99" s="31">
        <f>IF($A$12=$A$16,' на весь срок'!I86,'льготный период'!H87)</f>
        <v>0</v>
      </c>
      <c r="E99" s="31">
        <f>IF($A$12=$A$16,' на весь срок'!C86,'льготный период'!B87)</f>
        <v>0</v>
      </c>
      <c r="F99" s="31">
        <f>' на весь срок'!S86</f>
        <v>0</v>
      </c>
      <c r="G99" s="31">
        <f>' на весь срок'!N88</f>
        <v>0</v>
      </c>
      <c r="H99" s="31">
        <f>' на весь срок'!W86</f>
        <v>0</v>
      </c>
      <c r="I99" s="66">
        <f t="shared" si="17"/>
        <v>0</v>
      </c>
      <c r="J99" s="31">
        <f>' на весь срок'!J86</f>
        <v>0</v>
      </c>
      <c r="K99" s="31">
        <f>' на весь срок'!D86</f>
        <v>0</v>
      </c>
      <c r="L99" s="31">
        <f>' на весь срок'!T86</f>
        <v>0</v>
      </c>
      <c r="M99" s="31">
        <f>' на весь срок'!O88</f>
        <v>0</v>
      </c>
      <c r="N99" s="31">
        <f>' на весь срок'!X86</f>
        <v>0</v>
      </c>
      <c r="O99" s="66">
        <f t="shared" si="18"/>
        <v>0</v>
      </c>
      <c r="P99" s="31">
        <f>'льготный период'!I87</f>
        <v>0</v>
      </c>
      <c r="Q99" s="31">
        <f>'льготный период'!C87</f>
        <v>0</v>
      </c>
      <c r="R99" s="31">
        <f>'льготный период'!U87</f>
        <v>0</v>
      </c>
      <c r="S99" s="31">
        <f>'льготный период'!O88</f>
        <v>0</v>
      </c>
      <c r="T99" s="31">
        <f>'льготный период'!AA87</f>
        <v>0</v>
      </c>
      <c r="U99" s="66">
        <f t="shared" si="19"/>
        <v>0</v>
      </c>
      <c r="V99" s="31">
        <f>'льготный период'!J87</f>
        <v>0</v>
      </c>
      <c r="W99" s="31">
        <f>'льготный период'!D87</f>
        <v>0</v>
      </c>
      <c r="X99" s="31">
        <f>'льготный период'!V87</f>
        <v>0</v>
      </c>
      <c r="Y99" s="31">
        <f>'льготный период'!P88</f>
        <v>0</v>
      </c>
      <c r="Z99" s="31">
        <f>'льготный период'!AB87</f>
        <v>0</v>
      </c>
      <c r="AA99" s="66">
        <f t="shared" si="20"/>
        <v>0</v>
      </c>
      <c r="AB99" s="31">
        <f>'льготный период'!K87</f>
        <v>0</v>
      </c>
      <c r="AC99" s="67">
        <f t="shared" si="23"/>
        <v>0</v>
      </c>
      <c r="AD99" s="31">
        <f>'льготный период'!W87</f>
        <v>0</v>
      </c>
      <c r="AE99" s="31">
        <f>'льготный период'!Q88</f>
        <v>0</v>
      </c>
      <c r="AF99" s="31">
        <f>'льготный период'!AC87</f>
        <v>0</v>
      </c>
    </row>
    <row r="100" spans="1:32" x14ac:dyDescent="0.25">
      <c r="A100" s="28">
        <f t="shared" si="24"/>
        <v>82</v>
      </c>
      <c r="B100" s="66" t="str">
        <f t="shared" si="16"/>
        <v/>
      </c>
      <c r="C100" s="66">
        <f t="shared" si="22"/>
        <v>0</v>
      </c>
      <c r="D100" s="31">
        <f>IF($A$12=$A$16,' на весь срок'!I87,'льготный период'!H88)</f>
        <v>0</v>
      </c>
      <c r="E100" s="31">
        <f>IF($A$12=$A$16,' на весь срок'!C87,'льготный период'!B88)</f>
        <v>0</v>
      </c>
      <c r="F100" s="31">
        <f>' на весь срок'!S87</f>
        <v>0</v>
      </c>
      <c r="G100" s="31">
        <f>' на весь срок'!N89</f>
        <v>0</v>
      </c>
      <c r="H100" s="31">
        <f>' на весь срок'!W87</f>
        <v>0</v>
      </c>
      <c r="I100" s="66">
        <f t="shared" si="17"/>
        <v>0</v>
      </c>
      <c r="J100" s="31">
        <f>' на весь срок'!J87</f>
        <v>0</v>
      </c>
      <c r="K100" s="31">
        <f>' на весь срок'!D87</f>
        <v>0</v>
      </c>
      <c r="L100" s="31">
        <f>' на весь срок'!T87</f>
        <v>0</v>
      </c>
      <c r="M100" s="31">
        <f>' на весь срок'!O89</f>
        <v>0</v>
      </c>
      <c r="N100" s="31">
        <f>' на весь срок'!X87</f>
        <v>0</v>
      </c>
      <c r="O100" s="66">
        <f t="shared" si="18"/>
        <v>0</v>
      </c>
      <c r="P100" s="31">
        <f>'льготный период'!I88</f>
        <v>0</v>
      </c>
      <c r="Q100" s="31">
        <f>'льготный период'!C88</f>
        <v>0</v>
      </c>
      <c r="R100" s="31">
        <f>'льготный период'!U88</f>
        <v>0</v>
      </c>
      <c r="S100" s="31">
        <f>'льготный период'!O89</f>
        <v>0</v>
      </c>
      <c r="T100" s="31">
        <f>'льготный период'!AA88</f>
        <v>0</v>
      </c>
      <c r="U100" s="66">
        <f t="shared" si="19"/>
        <v>0</v>
      </c>
      <c r="V100" s="31">
        <f>'льготный период'!J88</f>
        <v>0</v>
      </c>
      <c r="W100" s="31">
        <f>'льготный период'!D88</f>
        <v>0</v>
      </c>
      <c r="X100" s="31">
        <f>'льготный период'!V88</f>
        <v>0</v>
      </c>
      <c r="Y100" s="31">
        <f>'льготный период'!P89</f>
        <v>0</v>
      </c>
      <c r="Z100" s="31">
        <f>'льготный период'!AB88</f>
        <v>0</v>
      </c>
      <c r="AA100" s="66">
        <f t="shared" si="20"/>
        <v>0</v>
      </c>
      <c r="AB100" s="31">
        <f>'льготный период'!K88</f>
        <v>0</v>
      </c>
      <c r="AC100" s="67">
        <f t="shared" si="23"/>
        <v>0</v>
      </c>
      <c r="AD100" s="31">
        <f>'льготный период'!W88</f>
        <v>0</v>
      </c>
      <c r="AE100" s="31">
        <f>'льготный период'!Q89</f>
        <v>0</v>
      </c>
      <c r="AF100" s="31">
        <f>'льготный период'!AC88</f>
        <v>0</v>
      </c>
    </row>
    <row r="101" spans="1:32" x14ac:dyDescent="0.25">
      <c r="A101" s="28">
        <f t="shared" si="24"/>
        <v>83</v>
      </c>
      <c r="B101" s="66" t="str">
        <f t="shared" si="16"/>
        <v/>
      </c>
      <c r="C101" s="66">
        <f t="shared" si="22"/>
        <v>0</v>
      </c>
      <c r="D101" s="31">
        <f>IF($A$12=$A$16,' на весь срок'!I88,'льготный период'!H89)</f>
        <v>0</v>
      </c>
      <c r="E101" s="31">
        <f>IF($A$12=$A$16,' на весь срок'!C88,'льготный период'!B89)</f>
        <v>0</v>
      </c>
      <c r="F101" s="31">
        <f>' на весь срок'!S88</f>
        <v>0</v>
      </c>
      <c r="G101" s="31">
        <f>' на весь срок'!N90</f>
        <v>0</v>
      </c>
      <c r="H101" s="31">
        <f>' на весь срок'!W88</f>
        <v>0</v>
      </c>
      <c r="I101" s="66">
        <f t="shared" si="17"/>
        <v>0</v>
      </c>
      <c r="J101" s="31">
        <f>' на весь срок'!J88</f>
        <v>0</v>
      </c>
      <c r="K101" s="31">
        <f>' на весь срок'!D88</f>
        <v>0</v>
      </c>
      <c r="L101" s="31">
        <f>' на весь срок'!T88</f>
        <v>0</v>
      </c>
      <c r="M101" s="31">
        <f>' на весь срок'!O90</f>
        <v>0</v>
      </c>
      <c r="N101" s="31">
        <f>' на весь срок'!X88</f>
        <v>0</v>
      </c>
      <c r="O101" s="66">
        <f t="shared" si="18"/>
        <v>0</v>
      </c>
      <c r="P101" s="31">
        <f>'льготный период'!I89</f>
        <v>0</v>
      </c>
      <c r="Q101" s="31">
        <f>'льготный период'!C89</f>
        <v>0</v>
      </c>
      <c r="R101" s="31">
        <f>'льготный период'!U89</f>
        <v>0</v>
      </c>
      <c r="S101" s="31">
        <f>'льготный период'!O90</f>
        <v>0</v>
      </c>
      <c r="T101" s="31">
        <f>'льготный период'!AA89</f>
        <v>0</v>
      </c>
      <c r="U101" s="66">
        <f t="shared" si="19"/>
        <v>0</v>
      </c>
      <c r="V101" s="31">
        <f>'льготный период'!J89</f>
        <v>0</v>
      </c>
      <c r="W101" s="31">
        <f>'льготный период'!D89</f>
        <v>0</v>
      </c>
      <c r="X101" s="31">
        <f>'льготный период'!V89</f>
        <v>0</v>
      </c>
      <c r="Y101" s="31">
        <f>'льготный период'!P90</f>
        <v>0</v>
      </c>
      <c r="Z101" s="31">
        <f>'льготный период'!AB89</f>
        <v>0</v>
      </c>
      <c r="AA101" s="66">
        <f t="shared" si="20"/>
        <v>0</v>
      </c>
      <c r="AB101" s="31">
        <f>'льготный период'!K89</f>
        <v>0</v>
      </c>
      <c r="AC101" s="67">
        <f t="shared" si="23"/>
        <v>0</v>
      </c>
      <c r="AD101" s="31">
        <f>'льготный период'!W89</f>
        <v>0</v>
      </c>
      <c r="AE101" s="31">
        <f>'льготный период'!Q90</f>
        <v>0</v>
      </c>
      <c r="AF101" s="31">
        <f>'льготный период'!AC89</f>
        <v>0</v>
      </c>
    </row>
    <row r="102" spans="1:32" x14ac:dyDescent="0.25">
      <c r="A102" s="28">
        <f t="shared" si="24"/>
        <v>84</v>
      </c>
      <c r="B102" s="66" t="str">
        <f t="shared" si="16"/>
        <v/>
      </c>
      <c r="C102" s="66">
        <f t="shared" si="22"/>
        <v>0</v>
      </c>
      <c r="D102" s="31">
        <f>IF($A$12=$A$16,' на весь срок'!I89,'льготный период'!H90)</f>
        <v>0</v>
      </c>
      <c r="E102" s="31">
        <f>IF($A$12=$A$16,' на весь срок'!C89,'льготный период'!B90)</f>
        <v>0</v>
      </c>
      <c r="F102" s="31">
        <f>' на весь срок'!S89</f>
        <v>0</v>
      </c>
      <c r="G102" s="31">
        <f>' на весь срок'!N91</f>
        <v>0</v>
      </c>
      <c r="H102" s="31">
        <f>' на весь срок'!W89</f>
        <v>0</v>
      </c>
      <c r="I102" s="66">
        <f t="shared" si="17"/>
        <v>0</v>
      </c>
      <c r="J102" s="31">
        <f>' на весь срок'!J89</f>
        <v>0</v>
      </c>
      <c r="K102" s="31">
        <f>' на весь срок'!D89</f>
        <v>0</v>
      </c>
      <c r="L102" s="31">
        <f>' на весь срок'!T89</f>
        <v>0</v>
      </c>
      <c r="M102" s="31">
        <f>' на весь срок'!O91</f>
        <v>0</v>
      </c>
      <c r="N102" s="31">
        <f>' на весь срок'!X89</f>
        <v>0</v>
      </c>
      <c r="O102" s="66">
        <f t="shared" si="18"/>
        <v>0</v>
      </c>
      <c r="P102" s="31">
        <f>'льготный период'!I90</f>
        <v>0</v>
      </c>
      <c r="Q102" s="31">
        <f>'льготный период'!C90</f>
        <v>0</v>
      </c>
      <c r="R102" s="31">
        <f>'льготный период'!U90</f>
        <v>0</v>
      </c>
      <c r="S102" s="31">
        <f>'льготный период'!O91</f>
        <v>0</v>
      </c>
      <c r="T102" s="31">
        <f>'льготный период'!AA90</f>
        <v>0</v>
      </c>
      <c r="U102" s="66">
        <f t="shared" si="19"/>
        <v>0</v>
      </c>
      <c r="V102" s="31">
        <f>'льготный период'!J90</f>
        <v>0</v>
      </c>
      <c r="W102" s="31">
        <f>'льготный период'!D90</f>
        <v>0</v>
      </c>
      <c r="X102" s="31">
        <f>'льготный период'!V90</f>
        <v>0</v>
      </c>
      <c r="Y102" s="31">
        <f>'льготный период'!P91</f>
        <v>0</v>
      </c>
      <c r="Z102" s="31">
        <f>'льготный период'!AB90</f>
        <v>0</v>
      </c>
      <c r="AA102" s="66">
        <f t="shared" si="20"/>
        <v>0</v>
      </c>
      <c r="AB102" s="31">
        <f>'льготный период'!K90</f>
        <v>0</v>
      </c>
      <c r="AC102" s="67">
        <f t="shared" si="23"/>
        <v>0</v>
      </c>
      <c r="AD102" s="31">
        <f>'льготный период'!W90</f>
        <v>0</v>
      </c>
      <c r="AE102" s="31">
        <f>'льготный период'!Q91</f>
        <v>0</v>
      </c>
      <c r="AF102" s="31">
        <f>'льготный период'!AC90</f>
        <v>0</v>
      </c>
    </row>
    <row r="103" spans="1:32" x14ac:dyDescent="0.25">
      <c r="A103" s="28">
        <f t="shared" si="24"/>
        <v>85</v>
      </c>
      <c r="B103" s="66" t="str">
        <f t="shared" si="16"/>
        <v/>
      </c>
      <c r="C103" s="66">
        <f t="shared" si="22"/>
        <v>0</v>
      </c>
      <c r="D103" s="31">
        <f>IF($A$12=$A$16,' на весь срок'!I90,'льготный период'!H91)</f>
        <v>0</v>
      </c>
      <c r="E103" s="31">
        <f>IF($A$12=$A$16,' на весь срок'!C90,'льготный период'!B91)</f>
        <v>0</v>
      </c>
      <c r="F103" s="31">
        <f>' на весь срок'!S90</f>
        <v>0</v>
      </c>
      <c r="G103" s="31">
        <f>' на весь срок'!N92</f>
        <v>0</v>
      </c>
      <c r="H103" s="31">
        <f>' на весь срок'!W90</f>
        <v>0</v>
      </c>
      <c r="I103" s="66">
        <f t="shared" si="17"/>
        <v>0</v>
      </c>
      <c r="J103" s="31">
        <f>' на весь срок'!J90</f>
        <v>0</v>
      </c>
      <c r="K103" s="31">
        <f>' на весь срок'!D90</f>
        <v>0</v>
      </c>
      <c r="L103" s="31">
        <f>' на весь срок'!T90</f>
        <v>0</v>
      </c>
      <c r="M103" s="31">
        <f>' на весь срок'!O92</f>
        <v>0</v>
      </c>
      <c r="N103" s="31">
        <f>' на весь срок'!X90</f>
        <v>0</v>
      </c>
      <c r="O103" s="66">
        <f t="shared" si="18"/>
        <v>0</v>
      </c>
      <c r="P103" s="31">
        <f>'льготный период'!I91</f>
        <v>0</v>
      </c>
      <c r="Q103" s="31">
        <f>'льготный период'!C91</f>
        <v>0</v>
      </c>
      <c r="R103" s="31">
        <f>'льготный период'!U91</f>
        <v>0</v>
      </c>
      <c r="S103" s="31">
        <f>'льготный период'!O92</f>
        <v>0</v>
      </c>
      <c r="T103" s="31">
        <f>'льготный период'!AA91</f>
        <v>0</v>
      </c>
      <c r="U103" s="66">
        <f t="shared" si="19"/>
        <v>0</v>
      </c>
      <c r="V103" s="31">
        <f>'льготный период'!J91</f>
        <v>0</v>
      </c>
      <c r="W103" s="31">
        <f>'льготный период'!D91</f>
        <v>0</v>
      </c>
      <c r="X103" s="31">
        <f>'льготный период'!V91</f>
        <v>0</v>
      </c>
      <c r="Y103" s="31">
        <f>'льготный период'!P92</f>
        <v>0</v>
      </c>
      <c r="Z103" s="31">
        <f>'льготный период'!AB91</f>
        <v>0</v>
      </c>
      <c r="AA103" s="66">
        <f t="shared" si="20"/>
        <v>0</v>
      </c>
      <c r="AB103" s="31">
        <f>'льготный период'!K91</f>
        <v>0</v>
      </c>
      <c r="AC103" s="67">
        <f t="shared" si="23"/>
        <v>0</v>
      </c>
      <c r="AD103" s="31">
        <f>'льготный период'!W91</f>
        <v>0</v>
      </c>
      <c r="AE103" s="31">
        <f>'льготный период'!Q92</f>
        <v>0</v>
      </c>
      <c r="AF103" s="31">
        <f>'льготный период'!AC91</f>
        <v>0</v>
      </c>
    </row>
    <row r="104" spans="1:32" x14ac:dyDescent="0.25">
      <c r="A104" s="28">
        <f t="shared" si="24"/>
        <v>86</v>
      </c>
      <c r="B104" s="66" t="str">
        <f t="shared" si="16"/>
        <v/>
      </c>
      <c r="C104" s="66">
        <f t="shared" si="22"/>
        <v>0</v>
      </c>
      <c r="D104" s="31">
        <f>IF($A$12=$A$16,' на весь срок'!I91,'льготный период'!H92)</f>
        <v>0</v>
      </c>
      <c r="E104" s="31">
        <f>IF($A$12=$A$16,' на весь срок'!C91,'льготный период'!B92)</f>
        <v>0</v>
      </c>
      <c r="F104" s="31">
        <f>' на весь срок'!S91</f>
        <v>0</v>
      </c>
      <c r="G104" s="31">
        <f>' на весь срок'!N93</f>
        <v>0</v>
      </c>
      <c r="H104" s="31">
        <f>' на весь срок'!W91</f>
        <v>0</v>
      </c>
      <c r="I104" s="66">
        <f t="shared" si="17"/>
        <v>0</v>
      </c>
      <c r="J104" s="31">
        <f>' на весь срок'!J91</f>
        <v>0</v>
      </c>
      <c r="K104" s="31">
        <f>' на весь срок'!D91</f>
        <v>0</v>
      </c>
      <c r="L104" s="31">
        <f>' на весь срок'!T91</f>
        <v>0</v>
      </c>
      <c r="M104" s="31">
        <f>' на весь срок'!O93</f>
        <v>0</v>
      </c>
      <c r="N104" s="31">
        <f>' на весь срок'!X91</f>
        <v>0</v>
      </c>
      <c r="O104" s="66">
        <f t="shared" si="18"/>
        <v>0</v>
      </c>
      <c r="P104" s="31">
        <f>'льготный период'!I92</f>
        <v>0</v>
      </c>
      <c r="Q104" s="31">
        <f>'льготный период'!C92</f>
        <v>0</v>
      </c>
      <c r="R104" s="31">
        <f>'льготный период'!U92</f>
        <v>0</v>
      </c>
      <c r="S104" s="31">
        <f>'льготный период'!O93</f>
        <v>0</v>
      </c>
      <c r="T104" s="31">
        <f>'льготный период'!AA92</f>
        <v>0</v>
      </c>
      <c r="U104" s="66">
        <f t="shared" si="19"/>
        <v>0</v>
      </c>
      <c r="V104" s="31">
        <f>'льготный период'!J92</f>
        <v>0</v>
      </c>
      <c r="W104" s="31">
        <f>'льготный период'!D92</f>
        <v>0</v>
      </c>
      <c r="X104" s="31">
        <f>'льготный период'!V92</f>
        <v>0</v>
      </c>
      <c r="Y104" s="31">
        <f>'льготный период'!P93</f>
        <v>0</v>
      </c>
      <c r="Z104" s="31">
        <f>'льготный период'!AB92</f>
        <v>0</v>
      </c>
      <c r="AA104" s="66">
        <f t="shared" si="20"/>
        <v>0</v>
      </c>
      <c r="AB104" s="31">
        <f>'льготный период'!K92</f>
        <v>0</v>
      </c>
      <c r="AC104" s="67">
        <f t="shared" si="23"/>
        <v>0</v>
      </c>
      <c r="AD104" s="31">
        <f>'льготный период'!W92</f>
        <v>0</v>
      </c>
      <c r="AE104" s="31">
        <f>'льготный период'!Q93</f>
        <v>0</v>
      </c>
      <c r="AF104" s="31">
        <f>'льготный период'!AC92</f>
        <v>0</v>
      </c>
    </row>
    <row r="105" spans="1:32" x14ac:dyDescent="0.25">
      <c r="A105" s="28">
        <f t="shared" si="24"/>
        <v>87</v>
      </c>
      <c r="B105" s="66" t="str">
        <f t="shared" si="16"/>
        <v/>
      </c>
      <c r="C105" s="66">
        <f t="shared" si="22"/>
        <v>0</v>
      </c>
      <c r="D105" s="31">
        <f>IF($A$12=$A$16,' на весь срок'!I92,'льготный период'!H93)</f>
        <v>0</v>
      </c>
      <c r="E105" s="31">
        <f>IF($A$12=$A$16,' на весь срок'!C92,'льготный период'!B93)</f>
        <v>0</v>
      </c>
      <c r="F105" s="31">
        <f>' на весь срок'!S92</f>
        <v>0</v>
      </c>
      <c r="G105" s="31">
        <f>' на весь срок'!N94</f>
        <v>0</v>
      </c>
      <c r="H105" s="31">
        <f>' на весь срок'!W92</f>
        <v>0</v>
      </c>
      <c r="I105" s="66">
        <f t="shared" si="17"/>
        <v>0</v>
      </c>
      <c r="J105" s="31">
        <f>' на весь срок'!J92</f>
        <v>0</v>
      </c>
      <c r="K105" s="31">
        <f>' на весь срок'!D92</f>
        <v>0</v>
      </c>
      <c r="L105" s="31">
        <f>' на весь срок'!T92</f>
        <v>0</v>
      </c>
      <c r="M105" s="31">
        <f>' на весь срок'!O94</f>
        <v>0</v>
      </c>
      <c r="N105" s="31">
        <f>' на весь срок'!X92</f>
        <v>0</v>
      </c>
      <c r="O105" s="66">
        <f t="shared" si="18"/>
        <v>0</v>
      </c>
      <c r="P105" s="31">
        <f>'льготный период'!I93</f>
        <v>0</v>
      </c>
      <c r="Q105" s="31">
        <f>'льготный период'!C93</f>
        <v>0</v>
      </c>
      <c r="R105" s="31">
        <f>'льготный период'!U93</f>
        <v>0</v>
      </c>
      <c r="S105" s="31">
        <f>'льготный период'!O94</f>
        <v>0</v>
      </c>
      <c r="T105" s="31">
        <f>'льготный период'!AA93</f>
        <v>0</v>
      </c>
      <c r="U105" s="66">
        <f t="shared" si="19"/>
        <v>0</v>
      </c>
      <c r="V105" s="31">
        <f>'льготный период'!J93</f>
        <v>0</v>
      </c>
      <c r="W105" s="31">
        <f>'льготный период'!D93</f>
        <v>0</v>
      </c>
      <c r="X105" s="31">
        <f>'льготный период'!V93</f>
        <v>0</v>
      </c>
      <c r="Y105" s="31">
        <f>'льготный период'!P94</f>
        <v>0</v>
      </c>
      <c r="Z105" s="31">
        <f>'льготный период'!AB93</f>
        <v>0</v>
      </c>
      <c r="AA105" s="66">
        <f t="shared" si="20"/>
        <v>0</v>
      </c>
      <c r="AB105" s="31">
        <f>'льготный период'!K93</f>
        <v>0</v>
      </c>
      <c r="AC105" s="67">
        <f t="shared" si="23"/>
        <v>0</v>
      </c>
      <c r="AD105" s="31">
        <f>'льготный период'!W93</f>
        <v>0</v>
      </c>
      <c r="AE105" s="31">
        <f>'льготный период'!Q94</f>
        <v>0</v>
      </c>
      <c r="AF105" s="31">
        <f>'льготный период'!AC93</f>
        <v>0</v>
      </c>
    </row>
    <row r="106" spans="1:32" x14ac:dyDescent="0.25">
      <c r="A106" s="28">
        <f t="shared" si="24"/>
        <v>88</v>
      </c>
      <c r="B106" s="66" t="str">
        <f t="shared" si="16"/>
        <v/>
      </c>
      <c r="C106" s="66">
        <f t="shared" si="22"/>
        <v>0</v>
      </c>
      <c r="D106" s="31">
        <f>IF($A$12=$A$16,' на весь срок'!I93,'льготный период'!H94)</f>
        <v>0</v>
      </c>
      <c r="E106" s="31">
        <f>IF($A$12=$A$16,' на весь срок'!C93,'льготный период'!B94)</f>
        <v>0</v>
      </c>
      <c r="F106" s="31">
        <f>' на весь срок'!S93</f>
        <v>0</v>
      </c>
      <c r="G106" s="31">
        <f>' на весь срок'!N95</f>
        <v>0</v>
      </c>
      <c r="H106" s="31">
        <f>' на весь срок'!W93</f>
        <v>0</v>
      </c>
      <c r="I106" s="66">
        <f t="shared" si="17"/>
        <v>0</v>
      </c>
      <c r="J106" s="31">
        <f>' на весь срок'!J93</f>
        <v>0</v>
      </c>
      <c r="K106" s="31">
        <f>' на весь срок'!D93</f>
        <v>0</v>
      </c>
      <c r="L106" s="31">
        <f>' на весь срок'!T93</f>
        <v>0</v>
      </c>
      <c r="M106" s="31">
        <f>' на весь срок'!O95</f>
        <v>0</v>
      </c>
      <c r="N106" s="31">
        <f>' на весь срок'!X93</f>
        <v>0</v>
      </c>
      <c r="O106" s="66">
        <f t="shared" si="18"/>
        <v>0</v>
      </c>
      <c r="P106" s="31">
        <f>'льготный период'!I94</f>
        <v>0</v>
      </c>
      <c r="Q106" s="31">
        <f>'льготный период'!C94</f>
        <v>0</v>
      </c>
      <c r="R106" s="31">
        <f>'льготный период'!U94</f>
        <v>0</v>
      </c>
      <c r="S106" s="31">
        <f>'льготный период'!O95</f>
        <v>0</v>
      </c>
      <c r="T106" s="31">
        <f>'льготный период'!AA94</f>
        <v>0</v>
      </c>
      <c r="U106" s="66">
        <f t="shared" si="19"/>
        <v>0</v>
      </c>
      <c r="V106" s="31">
        <f>'льготный период'!J94</f>
        <v>0</v>
      </c>
      <c r="W106" s="31">
        <f>'льготный период'!D94</f>
        <v>0</v>
      </c>
      <c r="X106" s="31">
        <f>'льготный период'!V94</f>
        <v>0</v>
      </c>
      <c r="Y106" s="31">
        <f>'льготный период'!P95</f>
        <v>0</v>
      </c>
      <c r="Z106" s="31">
        <f>'льготный период'!AB94</f>
        <v>0</v>
      </c>
      <c r="AA106" s="66">
        <f t="shared" si="20"/>
        <v>0</v>
      </c>
      <c r="AB106" s="31">
        <f>'льготный период'!K94</f>
        <v>0</v>
      </c>
      <c r="AC106" s="67">
        <f t="shared" si="23"/>
        <v>0</v>
      </c>
      <c r="AD106" s="31">
        <f>'льготный период'!W94</f>
        <v>0</v>
      </c>
      <c r="AE106" s="31">
        <f>'льготный период'!Q95</f>
        <v>0</v>
      </c>
      <c r="AF106" s="31">
        <f>'льготный период'!AC94</f>
        <v>0</v>
      </c>
    </row>
    <row r="107" spans="1:32" x14ac:dyDescent="0.25">
      <c r="A107" s="28">
        <f>A106+1</f>
        <v>89</v>
      </c>
      <c r="B107" s="66" t="str">
        <f t="shared" si="16"/>
        <v/>
      </c>
      <c r="C107" s="66">
        <f t="shared" si="22"/>
        <v>0</v>
      </c>
      <c r="D107" s="31">
        <f>IF($A$12=$A$16,' на весь срок'!I94,'льготный период'!H95)</f>
        <v>0</v>
      </c>
      <c r="E107" s="31">
        <f>IF($A$12=$A$16,' на весь срок'!C94,'льготный период'!B95)</f>
        <v>0</v>
      </c>
      <c r="F107" s="31">
        <f>' на весь срок'!S94</f>
        <v>0</v>
      </c>
      <c r="G107" s="31">
        <f>' на весь срок'!N96</f>
        <v>0</v>
      </c>
      <c r="H107" s="31">
        <f>' на весь срок'!W94</f>
        <v>0</v>
      </c>
      <c r="I107" s="66">
        <f t="shared" si="17"/>
        <v>0</v>
      </c>
      <c r="J107" s="31">
        <f>' на весь срок'!J94</f>
        <v>0</v>
      </c>
      <c r="K107" s="31">
        <f>' на весь срок'!D94</f>
        <v>0</v>
      </c>
      <c r="L107" s="31">
        <f>' на весь срок'!T94</f>
        <v>0</v>
      </c>
      <c r="M107" s="31">
        <f>' на весь срок'!O96</f>
        <v>0</v>
      </c>
      <c r="N107" s="31">
        <f>' на весь срок'!X94</f>
        <v>0</v>
      </c>
      <c r="O107" s="66">
        <f t="shared" si="18"/>
        <v>0</v>
      </c>
      <c r="P107" s="31">
        <f>'льготный период'!I95</f>
        <v>0</v>
      </c>
      <c r="Q107" s="31">
        <f>'льготный период'!C95</f>
        <v>0</v>
      </c>
      <c r="R107" s="31">
        <f>'льготный период'!U95</f>
        <v>0</v>
      </c>
      <c r="S107" s="31">
        <f>'льготный период'!O96</f>
        <v>0</v>
      </c>
      <c r="T107" s="31">
        <f>'льготный период'!AA95</f>
        <v>0</v>
      </c>
      <c r="U107" s="66">
        <f t="shared" si="19"/>
        <v>0</v>
      </c>
      <c r="V107" s="31">
        <f>'льготный период'!J95</f>
        <v>0</v>
      </c>
      <c r="W107" s="31">
        <f>'льготный период'!D95</f>
        <v>0</v>
      </c>
      <c r="X107" s="31">
        <f>'льготный период'!V95</f>
        <v>0</v>
      </c>
      <c r="Y107" s="31">
        <f>'льготный период'!P96</f>
        <v>0</v>
      </c>
      <c r="Z107" s="31">
        <f>'льготный период'!AB95</f>
        <v>0</v>
      </c>
      <c r="AA107" s="66">
        <f t="shared" si="20"/>
        <v>0</v>
      </c>
      <c r="AB107" s="31">
        <f>'льготный период'!K95</f>
        <v>0</v>
      </c>
      <c r="AC107" s="67">
        <f t="shared" si="23"/>
        <v>0</v>
      </c>
      <c r="AD107" s="31">
        <f>'льготный период'!W95</f>
        <v>0</v>
      </c>
      <c r="AE107" s="31">
        <f>'льготный период'!Q96</f>
        <v>0</v>
      </c>
      <c r="AF107" s="31">
        <f>'льготный период'!AC95</f>
        <v>0</v>
      </c>
    </row>
    <row r="108" spans="1:32" x14ac:dyDescent="0.25">
      <c r="A108" s="28">
        <f t="shared" ref="A108:A112" si="25">A107+1</f>
        <v>90</v>
      </c>
      <c r="B108" s="66" t="str">
        <f t="shared" si="16"/>
        <v/>
      </c>
      <c r="C108" s="66">
        <f t="shared" si="22"/>
        <v>0</v>
      </c>
      <c r="D108" s="31">
        <f>IF($A$12=$A$16,' на весь срок'!I95,'льготный период'!H96)</f>
        <v>0</v>
      </c>
      <c r="E108" s="31">
        <f>IF($A$12=$A$16,' на весь срок'!C95,'льготный период'!B96)</f>
        <v>0</v>
      </c>
      <c r="F108" s="31">
        <f>' на весь срок'!S95</f>
        <v>0</v>
      </c>
      <c r="G108" s="31">
        <f>' на весь срок'!N97</f>
        <v>0</v>
      </c>
      <c r="H108" s="31">
        <f>' на весь срок'!W95</f>
        <v>0</v>
      </c>
      <c r="I108" s="66">
        <f t="shared" si="17"/>
        <v>0</v>
      </c>
      <c r="J108" s="31">
        <f>' на весь срок'!J95</f>
        <v>0</v>
      </c>
      <c r="K108" s="31">
        <f>' на весь срок'!D95</f>
        <v>0</v>
      </c>
      <c r="L108" s="31">
        <f>' на весь срок'!T95</f>
        <v>0</v>
      </c>
      <c r="M108" s="31">
        <f>' на весь срок'!O97</f>
        <v>0</v>
      </c>
      <c r="N108" s="31">
        <f>' на весь срок'!X95</f>
        <v>0</v>
      </c>
      <c r="O108" s="66">
        <f t="shared" si="18"/>
        <v>0</v>
      </c>
      <c r="P108" s="31">
        <f>'льготный период'!I96</f>
        <v>0</v>
      </c>
      <c r="Q108" s="31">
        <f>'льготный период'!C96</f>
        <v>0</v>
      </c>
      <c r="R108" s="31">
        <f>'льготный период'!U96</f>
        <v>0</v>
      </c>
      <c r="S108" s="31">
        <f>'льготный период'!O97</f>
        <v>0</v>
      </c>
      <c r="T108" s="31">
        <f>'льготный период'!AA96</f>
        <v>0</v>
      </c>
      <c r="U108" s="66">
        <f t="shared" si="19"/>
        <v>0</v>
      </c>
      <c r="V108" s="31">
        <f>'льготный период'!J96</f>
        <v>0</v>
      </c>
      <c r="W108" s="31">
        <f>'льготный период'!D96</f>
        <v>0</v>
      </c>
      <c r="X108" s="31">
        <f>'льготный период'!V96</f>
        <v>0</v>
      </c>
      <c r="Y108" s="31">
        <f>'льготный период'!P97</f>
        <v>0</v>
      </c>
      <c r="Z108" s="31">
        <f>'льготный период'!AB96</f>
        <v>0</v>
      </c>
      <c r="AA108" s="66">
        <f t="shared" si="20"/>
        <v>0</v>
      </c>
      <c r="AB108" s="31">
        <f>'льготный период'!K96</f>
        <v>0</v>
      </c>
      <c r="AC108" s="67">
        <f t="shared" si="23"/>
        <v>0</v>
      </c>
      <c r="AD108" s="31">
        <f>'льготный период'!W96</f>
        <v>0</v>
      </c>
      <c r="AE108" s="31">
        <f>'льготный период'!Q97</f>
        <v>0</v>
      </c>
      <c r="AF108" s="31">
        <f>'льготный период'!AC96</f>
        <v>0</v>
      </c>
    </row>
    <row r="109" spans="1:32" x14ac:dyDescent="0.25">
      <c r="A109" s="28">
        <f t="shared" si="25"/>
        <v>91</v>
      </c>
      <c r="B109" s="66" t="str">
        <f t="shared" si="16"/>
        <v/>
      </c>
      <c r="C109" s="66">
        <f t="shared" si="22"/>
        <v>0</v>
      </c>
      <c r="D109" s="31">
        <f>IF($A$12=$A$16,' на весь срок'!I96,'льготный период'!H97)</f>
        <v>0</v>
      </c>
      <c r="E109" s="31">
        <f>IF($A$12=$A$16,' на весь срок'!C96,'льготный период'!B97)</f>
        <v>0</v>
      </c>
      <c r="F109" s="31">
        <f>' на весь срок'!S96</f>
        <v>0</v>
      </c>
      <c r="G109" s="31">
        <f>' на весь срок'!N98</f>
        <v>0</v>
      </c>
      <c r="H109" s="31">
        <f>' на весь срок'!W96</f>
        <v>0</v>
      </c>
      <c r="I109" s="66">
        <f t="shared" si="17"/>
        <v>0</v>
      </c>
      <c r="J109" s="31">
        <f>' на весь срок'!J96</f>
        <v>0</v>
      </c>
      <c r="K109" s="31">
        <f>' на весь срок'!D96</f>
        <v>0</v>
      </c>
      <c r="L109" s="31">
        <f>' на весь срок'!T96</f>
        <v>0</v>
      </c>
      <c r="M109" s="31">
        <f>' на весь срок'!O98</f>
        <v>0</v>
      </c>
      <c r="N109" s="31">
        <f>' на весь срок'!X96</f>
        <v>0</v>
      </c>
      <c r="O109" s="66">
        <f t="shared" si="18"/>
        <v>0</v>
      </c>
      <c r="P109" s="31">
        <f>'льготный период'!I97</f>
        <v>0</v>
      </c>
      <c r="Q109" s="31">
        <f>'льготный период'!C97</f>
        <v>0</v>
      </c>
      <c r="R109" s="31">
        <f>'льготный период'!U97</f>
        <v>0</v>
      </c>
      <c r="S109" s="31">
        <f>'льготный период'!O98</f>
        <v>0</v>
      </c>
      <c r="T109" s="31">
        <f>'льготный период'!AA97</f>
        <v>0</v>
      </c>
      <c r="U109" s="66">
        <f t="shared" si="19"/>
        <v>0</v>
      </c>
      <c r="V109" s="31">
        <f>'льготный период'!J97</f>
        <v>0</v>
      </c>
      <c r="W109" s="31">
        <f>'льготный период'!D97</f>
        <v>0</v>
      </c>
      <c r="X109" s="31">
        <f>'льготный период'!V97</f>
        <v>0</v>
      </c>
      <c r="Y109" s="31">
        <f>'льготный период'!P98</f>
        <v>0</v>
      </c>
      <c r="Z109" s="31">
        <f>'льготный период'!AB97</f>
        <v>0</v>
      </c>
      <c r="AA109" s="66">
        <f t="shared" si="20"/>
        <v>0</v>
      </c>
      <c r="AB109" s="31">
        <f>'льготный период'!K97</f>
        <v>0</v>
      </c>
      <c r="AC109" s="67">
        <f t="shared" si="23"/>
        <v>0</v>
      </c>
      <c r="AD109" s="31">
        <f>'льготный период'!W97</f>
        <v>0</v>
      </c>
      <c r="AE109" s="31">
        <f>'льготный период'!Q98</f>
        <v>0</v>
      </c>
      <c r="AF109" s="31">
        <f>'льготный период'!AC97</f>
        <v>0</v>
      </c>
    </row>
    <row r="110" spans="1:32" x14ac:dyDescent="0.25">
      <c r="A110" s="28">
        <f t="shared" si="25"/>
        <v>92</v>
      </c>
      <c r="B110" s="66" t="str">
        <f t="shared" si="16"/>
        <v/>
      </c>
      <c r="C110" s="66">
        <f t="shared" si="22"/>
        <v>0</v>
      </c>
      <c r="D110" s="31">
        <f>IF($A$12=$A$16,' на весь срок'!I97,'льготный период'!H98)</f>
        <v>0</v>
      </c>
      <c r="E110" s="31">
        <f>IF($A$12=$A$16,' на весь срок'!C97,'льготный период'!B98)</f>
        <v>0</v>
      </c>
      <c r="F110" s="31">
        <f>' на весь срок'!S97</f>
        <v>0</v>
      </c>
      <c r="G110" s="31">
        <f>' на весь срок'!N99</f>
        <v>0</v>
      </c>
      <c r="H110" s="31">
        <f>' на весь срок'!W97</f>
        <v>0</v>
      </c>
      <c r="I110" s="66">
        <f t="shared" si="17"/>
        <v>0</v>
      </c>
      <c r="J110" s="31">
        <f>' на весь срок'!J97</f>
        <v>0</v>
      </c>
      <c r="K110" s="31">
        <f>' на весь срок'!D97</f>
        <v>0</v>
      </c>
      <c r="L110" s="31">
        <f>' на весь срок'!T97</f>
        <v>0</v>
      </c>
      <c r="M110" s="31">
        <f>' на весь срок'!O99</f>
        <v>0</v>
      </c>
      <c r="N110" s="31">
        <f>' на весь срок'!X97</f>
        <v>0</v>
      </c>
      <c r="O110" s="66">
        <f t="shared" si="18"/>
        <v>0</v>
      </c>
      <c r="P110" s="31">
        <f>'льготный период'!I98</f>
        <v>0</v>
      </c>
      <c r="Q110" s="31">
        <f>'льготный период'!C98</f>
        <v>0</v>
      </c>
      <c r="R110" s="31">
        <f>'льготный период'!U98</f>
        <v>0</v>
      </c>
      <c r="S110" s="31">
        <f>'льготный период'!O99</f>
        <v>0</v>
      </c>
      <c r="T110" s="31">
        <f>'льготный период'!AA98</f>
        <v>0</v>
      </c>
      <c r="U110" s="66">
        <f t="shared" si="19"/>
        <v>0</v>
      </c>
      <c r="V110" s="31">
        <f>'льготный период'!J98</f>
        <v>0</v>
      </c>
      <c r="W110" s="31">
        <f>'льготный период'!D98</f>
        <v>0</v>
      </c>
      <c r="X110" s="31">
        <f>'льготный период'!V98</f>
        <v>0</v>
      </c>
      <c r="Y110" s="31">
        <f>'льготный период'!P99</f>
        <v>0</v>
      </c>
      <c r="Z110" s="31">
        <f>'льготный период'!AB98</f>
        <v>0</v>
      </c>
      <c r="AA110" s="66">
        <f t="shared" si="20"/>
        <v>0</v>
      </c>
      <c r="AB110" s="31">
        <f>'льготный период'!K98</f>
        <v>0</v>
      </c>
      <c r="AC110" s="67">
        <f t="shared" si="23"/>
        <v>0</v>
      </c>
      <c r="AD110" s="31">
        <f>'льготный период'!W98</f>
        <v>0</v>
      </c>
      <c r="AE110" s="31">
        <f>'льготный период'!Q99</f>
        <v>0</v>
      </c>
      <c r="AF110" s="31">
        <f>'льготный период'!AC98</f>
        <v>0</v>
      </c>
    </row>
    <row r="111" spans="1:32" x14ac:dyDescent="0.25">
      <c r="A111" s="28">
        <f t="shared" si="25"/>
        <v>93</v>
      </c>
      <c r="B111" s="66" t="str">
        <f t="shared" si="16"/>
        <v/>
      </c>
      <c r="C111" s="66">
        <f t="shared" si="22"/>
        <v>0</v>
      </c>
      <c r="D111" s="31">
        <f>IF($A$12=$A$16,' на весь срок'!I98,'льготный период'!H99)</f>
        <v>0</v>
      </c>
      <c r="E111" s="31">
        <f>IF($A$12=$A$16,' на весь срок'!C98,'льготный период'!B99)</f>
        <v>0</v>
      </c>
      <c r="F111" s="31">
        <f>' на весь срок'!S98</f>
        <v>0</v>
      </c>
      <c r="G111" s="31">
        <f>' на весь срок'!N100</f>
        <v>0</v>
      </c>
      <c r="H111" s="31">
        <f>' на весь срок'!W98</f>
        <v>0</v>
      </c>
      <c r="I111" s="66">
        <f t="shared" si="17"/>
        <v>0</v>
      </c>
      <c r="J111" s="31">
        <f>' на весь срок'!J98</f>
        <v>0</v>
      </c>
      <c r="K111" s="31">
        <f>' на весь срок'!D98</f>
        <v>0</v>
      </c>
      <c r="L111" s="31">
        <f>' на весь срок'!T98</f>
        <v>0</v>
      </c>
      <c r="M111" s="31">
        <f>' на весь срок'!O100</f>
        <v>0</v>
      </c>
      <c r="N111" s="31">
        <f>' на весь срок'!X98</f>
        <v>0</v>
      </c>
      <c r="O111" s="66">
        <f t="shared" si="18"/>
        <v>0</v>
      </c>
      <c r="P111" s="31">
        <f>'льготный период'!I99</f>
        <v>0</v>
      </c>
      <c r="Q111" s="31">
        <f>'льготный период'!C99</f>
        <v>0</v>
      </c>
      <c r="R111" s="31">
        <f>'льготный период'!U99</f>
        <v>0</v>
      </c>
      <c r="S111" s="31">
        <f>'льготный период'!O100</f>
        <v>0</v>
      </c>
      <c r="T111" s="31">
        <f>'льготный период'!AA99</f>
        <v>0</v>
      </c>
      <c r="U111" s="66">
        <f t="shared" si="19"/>
        <v>0</v>
      </c>
      <c r="V111" s="31">
        <f>'льготный период'!J99</f>
        <v>0</v>
      </c>
      <c r="W111" s="31">
        <f>'льготный период'!D99</f>
        <v>0</v>
      </c>
      <c r="X111" s="31">
        <f>'льготный период'!V99</f>
        <v>0</v>
      </c>
      <c r="Y111" s="31">
        <f>'льготный период'!P100</f>
        <v>0</v>
      </c>
      <c r="Z111" s="31">
        <f>'льготный период'!AB99</f>
        <v>0</v>
      </c>
      <c r="AA111" s="66">
        <f t="shared" si="20"/>
        <v>0</v>
      </c>
      <c r="AB111" s="31">
        <f>'льготный период'!K99</f>
        <v>0</v>
      </c>
      <c r="AC111" s="67">
        <f t="shared" si="23"/>
        <v>0</v>
      </c>
      <c r="AD111" s="31">
        <f>'льготный период'!W99</f>
        <v>0</v>
      </c>
      <c r="AE111" s="31">
        <f>'льготный период'!Q100</f>
        <v>0</v>
      </c>
      <c r="AF111" s="31">
        <f>'льготный период'!AC99</f>
        <v>0</v>
      </c>
    </row>
    <row r="112" spans="1:32" x14ac:dyDescent="0.25">
      <c r="A112" s="28">
        <f t="shared" si="25"/>
        <v>94</v>
      </c>
      <c r="B112" s="66" t="str">
        <f t="shared" si="16"/>
        <v/>
      </c>
      <c r="C112" s="66">
        <f t="shared" si="22"/>
        <v>0</v>
      </c>
      <c r="D112" s="31">
        <f>IF($A$12=$A$16,' на весь срок'!I99,'льготный период'!H100)</f>
        <v>0</v>
      </c>
      <c r="E112" s="31">
        <f>IF($A$12=$A$16,' на весь срок'!C99,'льготный период'!B100)</f>
        <v>0</v>
      </c>
      <c r="F112" s="31">
        <f>' на весь срок'!S99</f>
        <v>0</v>
      </c>
      <c r="G112" s="31">
        <f>' на весь срок'!N101</f>
        <v>0</v>
      </c>
      <c r="H112" s="31">
        <f>' на весь срок'!W99</f>
        <v>0</v>
      </c>
      <c r="I112" s="66">
        <f t="shared" si="17"/>
        <v>0</v>
      </c>
      <c r="J112" s="31">
        <f>' на весь срок'!J99</f>
        <v>0</v>
      </c>
      <c r="K112" s="31">
        <f>' на весь срок'!D99</f>
        <v>0</v>
      </c>
      <c r="L112" s="31">
        <f>' на весь срок'!T99</f>
        <v>0</v>
      </c>
      <c r="M112" s="31">
        <f>' на весь срок'!O101</f>
        <v>0</v>
      </c>
      <c r="N112" s="31">
        <f>' на весь срок'!X99</f>
        <v>0</v>
      </c>
      <c r="O112" s="66">
        <f t="shared" si="18"/>
        <v>0</v>
      </c>
      <c r="P112" s="31">
        <f>'льготный период'!I100</f>
        <v>0</v>
      </c>
      <c r="Q112" s="31">
        <f>'льготный период'!C100</f>
        <v>0</v>
      </c>
      <c r="R112" s="31">
        <f>'льготный период'!U100</f>
        <v>0</v>
      </c>
      <c r="S112" s="31">
        <f>'льготный период'!O101</f>
        <v>0</v>
      </c>
      <c r="T112" s="31">
        <f>'льготный период'!AA100</f>
        <v>0</v>
      </c>
      <c r="U112" s="66">
        <f t="shared" si="19"/>
        <v>0</v>
      </c>
      <c r="V112" s="31">
        <f>'льготный период'!J100</f>
        <v>0</v>
      </c>
      <c r="W112" s="31">
        <f>'льготный период'!D100</f>
        <v>0</v>
      </c>
      <c r="X112" s="31">
        <f>'льготный период'!V100</f>
        <v>0</v>
      </c>
      <c r="Y112" s="31">
        <f>'льготный период'!P101</f>
        <v>0</v>
      </c>
      <c r="Z112" s="31">
        <f>'льготный период'!AB100</f>
        <v>0</v>
      </c>
      <c r="AA112" s="66">
        <f t="shared" si="20"/>
        <v>0</v>
      </c>
      <c r="AB112" s="31">
        <f>'льготный период'!K100</f>
        <v>0</v>
      </c>
      <c r="AC112" s="67">
        <f t="shared" si="23"/>
        <v>0</v>
      </c>
      <c r="AD112" s="31">
        <f>'льготный период'!W100</f>
        <v>0</v>
      </c>
      <c r="AE112" s="31">
        <f>'льготный период'!Q101</f>
        <v>0</v>
      </c>
      <c r="AF112" s="31">
        <f>'льготный период'!AC100</f>
        <v>0</v>
      </c>
    </row>
    <row r="113" spans="3:7" x14ac:dyDescent="0.25">
      <c r="C113" s="44"/>
      <c r="D113" s="44"/>
      <c r="E113" s="44"/>
      <c r="F113" s="44"/>
      <c r="G113" s="44"/>
    </row>
    <row r="114" spans="3:7" x14ac:dyDescent="0.25">
      <c r="C114" s="44"/>
      <c r="D114" s="44"/>
      <c r="E114" s="44"/>
      <c r="F114" s="44"/>
      <c r="G114" s="44"/>
    </row>
    <row r="115" spans="3:7" x14ac:dyDescent="0.25">
      <c r="C115" s="44"/>
      <c r="D115" s="44"/>
      <c r="E115" s="44"/>
      <c r="F115" s="44"/>
      <c r="G115" s="44"/>
    </row>
    <row r="116" spans="3:7" x14ac:dyDescent="0.25">
      <c r="C116" s="44"/>
      <c r="D116" s="44"/>
      <c r="E116" s="44"/>
      <c r="F116" s="44"/>
      <c r="G116" s="44"/>
    </row>
    <row r="117" spans="3:7" x14ac:dyDescent="0.25">
      <c r="C117" s="44"/>
      <c r="D117" s="44"/>
      <c r="E117" s="44"/>
      <c r="F117" s="44"/>
      <c r="G117" s="44"/>
    </row>
    <row r="118" spans="3:7" x14ac:dyDescent="0.25">
      <c r="C118" s="44"/>
      <c r="D118" s="44"/>
      <c r="E118" s="44"/>
      <c r="F118" s="44"/>
      <c r="G118" s="44"/>
    </row>
    <row r="119" spans="3:7" x14ac:dyDescent="0.25">
      <c r="C119" s="44"/>
      <c r="D119" s="44"/>
      <c r="E119" s="44"/>
      <c r="F119" s="44"/>
      <c r="G119" s="44"/>
    </row>
    <row r="120" spans="3:7" x14ac:dyDescent="0.25">
      <c r="C120" s="44"/>
      <c r="D120" s="44"/>
      <c r="E120" s="44"/>
      <c r="F120" s="44"/>
      <c r="G120" s="44"/>
    </row>
  </sheetData>
  <mergeCells count="1">
    <mergeCell ref="D5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B13" sqref="B13"/>
    </sheetView>
  </sheetViews>
  <sheetFormatPr defaultRowHeight="15" x14ac:dyDescent="0.25"/>
  <cols>
    <col min="1" max="1" width="76.7109375" customWidth="1"/>
    <col min="2" max="2" width="23.42578125" customWidth="1"/>
    <col min="3" max="4" width="12.140625" customWidth="1"/>
    <col min="5" max="5" width="16.85546875" customWidth="1"/>
    <col min="6" max="6" width="18.42578125" customWidth="1"/>
    <col min="7" max="7" width="17.140625" customWidth="1"/>
    <col min="9" max="9" width="12.28515625" customWidth="1"/>
    <col min="11" max="11" width="12" bestFit="1" customWidth="1"/>
  </cols>
  <sheetData>
    <row r="1" spans="1:12" x14ac:dyDescent="0.25">
      <c r="B1" s="113" t="s">
        <v>80</v>
      </c>
      <c r="C1" s="113" t="s">
        <v>82</v>
      </c>
      <c r="D1" s="113" t="s">
        <v>81</v>
      </c>
      <c r="E1" s="5">
        <f>'Комбо (с субсидир от Застройщ)'!D7</f>
        <v>0.28286852589641431</v>
      </c>
      <c r="F1" t="str">
        <f>IF(E1&gt;D2,"По условиям программы первоначальный взнос не может быть более "&amp;D2*100&amp;"%",IF(E1&lt;C2,"По условиям программы первоначальный взнос не может быть менее "&amp;C2*100&amp;"%",""))</f>
        <v/>
      </c>
      <c r="G1" s="28">
        <v>30</v>
      </c>
      <c r="H1" s="28" t="s">
        <v>53</v>
      </c>
      <c r="L1" t="s">
        <v>95</v>
      </c>
    </row>
    <row r="2" spans="1:12" x14ac:dyDescent="0.25">
      <c r="B2" s="111" t="s">
        <v>80</v>
      </c>
      <c r="C2" s="5">
        <v>0.2001</v>
      </c>
      <c r="D2" s="110">
        <v>0.85</v>
      </c>
      <c r="E2">
        <f>'Комбо (с субсидир от Застройщ)'!D8</f>
        <v>180</v>
      </c>
      <c r="F2" t="str">
        <f>IF(E2/12&lt;G2,L2,IF(E2/12&gt;G1,L1,""))</f>
        <v/>
      </c>
      <c r="G2" s="28">
        <v>1</v>
      </c>
      <c r="H2" s="28" t="s">
        <v>54</v>
      </c>
      <c r="L2" t="s">
        <v>94</v>
      </c>
    </row>
    <row r="4" spans="1:12" ht="38.25" x14ac:dyDescent="0.25">
      <c r="B4" s="112"/>
      <c r="C4" s="115" t="s">
        <v>83</v>
      </c>
      <c r="D4" s="115" t="s">
        <v>84</v>
      </c>
      <c r="E4" s="115" t="s">
        <v>85</v>
      </c>
      <c r="F4" s="115" t="s">
        <v>87</v>
      </c>
      <c r="G4" s="115" t="s">
        <v>88</v>
      </c>
      <c r="H4" s="115" t="s">
        <v>89</v>
      </c>
      <c r="I4" s="115" t="s">
        <v>90</v>
      </c>
    </row>
    <row r="5" spans="1:12" x14ac:dyDescent="0.25">
      <c r="A5" s="121" t="str">
        <f>B5&amp;E5</f>
        <v>Господдержка СемейнаяМосква, Моск.обл., Санкт-Петербург, Лен.обл.</v>
      </c>
      <c r="B5" s="28" t="s">
        <v>37</v>
      </c>
      <c r="C5" s="119">
        <v>0.06</v>
      </c>
      <c r="D5" s="152">
        <v>6.7000000000000004E-2</v>
      </c>
      <c r="E5" s="116" t="s">
        <v>128</v>
      </c>
      <c r="F5" s="131">
        <f>справочники!B2</f>
        <v>12000000</v>
      </c>
      <c r="G5" s="118">
        <v>30000000</v>
      </c>
      <c r="H5" s="119">
        <v>0</v>
      </c>
      <c r="I5" s="119">
        <v>0</v>
      </c>
    </row>
    <row r="6" spans="1:12" x14ac:dyDescent="0.25">
      <c r="A6" s="121" t="str">
        <f t="shared" ref="A6:A8" si="0">B6&amp;E6</f>
        <v>Господдержка Семейнаядр.города</v>
      </c>
      <c r="B6" s="28" t="s">
        <v>37</v>
      </c>
      <c r="C6" s="114">
        <f>C5</f>
        <v>0.06</v>
      </c>
      <c r="D6" s="152">
        <v>0.112</v>
      </c>
      <c r="E6" s="116" t="s">
        <v>129</v>
      </c>
      <c r="F6" s="131">
        <f>справочники!B3</f>
        <v>6000000</v>
      </c>
      <c r="G6" s="118">
        <v>15000000</v>
      </c>
      <c r="H6" s="132">
        <f>H5</f>
        <v>0</v>
      </c>
      <c r="I6" s="132">
        <f>I5</f>
        <v>0</v>
      </c>
    </row>
    <row r="7" spans="1:12" x14ac:dyDescent="0.25">
      <c r="A7" s="121" t="str">
        <f>B7&amp;E7</f>
        <v>Москва, Моск.обл., Санкт-Петербург, Лен.обл.</v>
      </c>
      <c r="B7" s="28"/>
      <c r="C7" s="119">
        <v>0.08</v>
      </c>
      <c r="D7" s="152">
        <v>4.8000000000000001E-2</v>
      </c>
      <c r="E7" s="116" t="s">
        <v>128</v>
      </c>
      <c r="F7" s="120">
        <v>6000000</v>
      </c>
      <c r="G7" s="120">
        <v>6000000</v>
      </c>
      <c r="H7" s="132">
        <f t="shared" ref="H7:H8" si="1">H6</f>
        <v>0</v>
      </c>
      <c r="I7" s="119">
        <v>0.01</v>
      </c>
    </row>
    <row r="8" spans="1:12" x14ac:dyDescent="0.25">
      <c r="A8" s="121" t="str">
        <f t="shared" si="0"/>
        <v>др.города</v>
      </c>
      <c r="B8" s="28"/>
      <c r="C8" s="114">
        <f>C7</f>
        <v>0.08</v>
      </c>
      <c r="D8" s="152">
        <v>8.5000000000000006E-2</v>
      </c>
      <c r="E8" s="116" t="s">
        <v>129</v>
      </c>
      <c r="F8" s="120">
        <f>F6</f>
        <v>6000000</v>
      </c>
      <c r="G8" s="120">
        <v>6000000</v>
      </c>
      <c r="H8" s="132">
        <f t="shared" si="1"/>
        <v>0</v>
      </c>
      <c r="I8" s="132">
        <f>I7</f>
        <v>0.01</v>
      </c>
    </row>
    <row r="10" spans="1:12" x14ac:dyDescent="0.25">
      <c r="B10" s="123" t="str">
        <f>'Комбо (с субсидир от Застройщ)'!C13</f>
        <v>Господдержка Семейная</v>
      </c>
      <c r="C10" s="124" t="str">
        <f>'Комбо (с субсидир от Застройщ)'!D4</f>
        <v>др.города</v>
      </c>
      <c r="D10" s="124" t="str">
        <f>"ЭРС "&amp;'Комбо (с субсидир от Застройщ)'!D9</f>
        <v>ЭРС нет</v>
      </c>
      <c r="E10" s="133">
        <f>IF('Комбо (с субсидир от Застройщ)'!D9="да",IFERROR(VLOOKUP(B10&amp;C10,$A$5:$H$8,8,0),0),0)</f>
        <v>0</v>
      </c>
      <c r="F10" s="124" t="str">
        <f>'Комбо (с субсидир от Застройщ)'!D10</f>
        <v>Со страхованием</v>
      </c>
      <c r="G10" s="133">
        <f>IF(F10="Без страхования",IFERROR(VLOOKUP(B10&amp;C10,$A$5:$I$8,9,0),0),0)</f>
        <v>0</v>
      </c>
    </row>
    <row r="11" spans="1:12" x14ac:dyDescent="0.25">
      <c r="B11" s="123" t="str">
        <f>'Комбо (с субсидир от Застройщ)'!C15</f>
        <v>Комбо + Господдержка Семейная</v>
      </c>
      <c r="C11" s="123" t="str">
        <f>IF(C15&gt;E15,"По Комбо-ипотеке сумма кредита не может превышать "&amp;E15/1000/1000&amp;" млн.р.","")</f>
        <v/>
      </c>
      <c r="D11" s="134"/>
    </row>
    <row r="12" spans="1:12" x14ac:dyDescent="0.25">
      <c r="B12" s="127" t="s">
        <v>56</v>
      </c>
      <c r="C12" s="125">
        <f>IF(C15&gt;=E15,0,IFERROR(VLOOKUP(B10&amp;C10,$A$5:$F$8,3,0),0)+E10+G10)</f>
        <v>0.06</v>
      </c>
    </row>
    <row r="13" spans="1:12" x14ac:dyDescent="0.25">
      <c r="B13" s="127" t="s">
        <v>86</v>
      </c>
      <c r="C13" s="125">
        <f>IFERROR(VLOOKUP(B10&amp;C10&amp;F15,A21:F38,6,0),0)*D13</f>
        <v>0.219</v>
      </c>
      <c r="D13">
        <f>IF('Комбо (с субсидир от Застройщ)'!D3-'Комбо (с субсидир от Застройщ)'!D6&gt;D15,1,0)</f>
        <v>1</v>
      </c>
      <c r="E13">
        <f>VLOOKUP(B10&amp;C10&amp;F15,A21:F38,6,0)</f>
        <v>0.219</v>
      </c>
    </row>
    <row r="14" spans="1:12" x14ac:dyDescent="0.25">
      <c r="B14" s="129" t="s">
        <v>52</v>
      </c>
      <c r="C14" s="126">
        <f>'Комбо (с субсидир от Застройщ)'!D8</f>
        <v>180</v>
      </c>
    </row>
    <row r="15" spans="1:12" x14ac:dyDescent="0.25">
      <c r="B15" s="129" t="s">
        <v>70</v>
      </c>
      <c r="C15" s="122">
        <f>'Комбо (с субсидир от Застройщ)'!F15</f>
        <v>12676056.33802817</v>
      </c>
      <c r="D15" s="122">
        <f>IFERROR(VLOOKUP(B10&amp;C10,$A$5:$F$8,6,0),0)</f>
        <v>6000000</v>
      </c>
      <c r="E15" s="136">
        <f>IFERROR(VLOOKUP(B10&amp;C10,$A$5:$G$8,7,0),0)</f>
        <v>15000000</v>
      </c>
      <c r="F15" s="46">
        <f>IF(C10=I18,J18,J17)</f>
        <v>3</v>
      </c>
      <c r="G15" s="136">
        <f>'Комбо (с субсидир от Застройщ)'!D3-'Комбо (с субсидир от Застройщ)'!D6</f>
        <v>9900000</v>
      </c>
    </row>
    <row r="16" spans="1:12" x14ac:dyDescent="0.25">
      <c r="B16" s="129" t="s">
        <v>71</v>
      </c>
      <c r="C16" s="128">
        <f>C12</f>
        <v>0.06</v>
      </c>
      <c r="D16" s="45"/>
      <c r="E16" s="45"/>
      <c r="G16" s="45"/>
    </row>
    <row r="17" spans="1:11" x14ac:dyDescent="0.25">
      <c r="B17" s="129" t="s">
        <v>68</v>
      </c>
      <c r="C17" s="122">
        <f>PMT(C12/12,C14,-C15)</f>
        <v>106967.76693571918</v>
      </c>
      <c r="D17" s="45"/>
      <c r="E17" s="45"/>
      <c r="F17" s="45"/>
      <c r="G17" s="45"/>
      <c r="I17" s="275" t="s">
        <v>128</v>
      </c>
      <c r="J17" s="121">
        <f>IF(G15&lt;=K30,G30,IF(G15&lt;=K31,G31,IF(G15&lt;=K32,G32,IF(G15&lt;=K33,G33,IF(G15&lt;=K34,G34,IF(G15&lt;=K35,G35))))))</f>
        <v>3</v>
      </c>
    </row>
    <row r="18" spans="1:11" x14ac:dyDescent="0.25">
      <c r="D18" s="45"/>
      <c r="E18" s="45"/>
      <c r="F18" s="45"/>
      <c r="G18" s="45"/>
      <c r="I18" s="275" t="s">
        <v>129</v>
      </c>
      <c r="J18" s="121">
        <f>IF(G15&lt;=K36,G36,IF(G15&lt;=K37,G37,IF(G15&lt;=K38,G38)))</f>
        <v>3</v>
      </c>
    </row>
    <row r="19" spans="1:11" x14ac:dyDescent="0.25">
      <c r="B19" s="45"/>
      <c r="C19" s="48"/>
      <c r="D19" s="45"/>
      <c r="E19" s="45"/>
      <c r="F19" s="45"/>
      <c r="G19" s="45"/>
    </row>
    <row r="20" spans="1:11" ht="24.75" customHeight="1" x14ac:dyDescent="0.25">
      <c r="B20" s="175" t="s">
        <v>144</v>
      </c>
      <c r="C20" s="176" t="s">
        <v>122</v>
      </c>
      <c r="D20" s="176" t="s">
        <v>124</v>
      </c>
      <c r="E20" s="177" t="s">
        <v>123</v>
      </c>
      <c r="F20" s="178" t="s">
        <v>125</v>
      </c>
    </row>
    <row r="21" spans="1:11" ht="15" customHeight="1" x14ac:dyDescent="0.25">
      <c r="A21" s="121" t="e">
        <f>B21&amp;C21&amp;G21</f>
        <v>#N/A</v>
      </c>
      <c r="B21" s="28"/>
      <c r="C21" s="172" t="s">
        <v>128</v>
      </c>
      <c r="D21" s="169"/>
      <c r="E21" s="173">
        <v>0.08</v>
      </c>
      <c r="F21" s="170"/>
      <c r="G21" s="121" t="e">
        <f t="shared" ref="G21:G38" si="2">VLOOKUP(D21,$I$21:$J$45,2,0)</f>
        <v>#N/A</v>
      </c>
      <c r="I21" s="169">
        <v>6000000</v>
      </c>
      <c r="J21">
        <v>1</v>
      </c>
    </row>
    <row r="22" spans="1:11" x14ac:dyDescent="0.25">
      <c r="A22" s="121" t="e">
        <f t="shared" ref="A22:A38" si="3">B22&amp;C22&amp;G22</f>
        <v>#N/A</v>
      </c>
      <c r="B22" s="28"/>
      <c r="C22" s="172" t="s">
        <v>128</v>
      </c>
      <c r="D22" s="169"/>
      <c r="E22" s="174">
        <f>E21</f>
        <v>0.08</v>
      </c>
      <c r="F22" s="170"/>
      <c r="G22" s="121" t="e">
        <f t="shared" si="2"/>
        <v>#N/A</v>
      </c>
      <c r="I22" s="169">
        <v>7000000</v>
      </c>
      <c r="J22">
        <v>1</v>
      </c>
    </row>
    <row r="23" spans="1:11" x14ac:dyDescent="0.25">
      <c r="A23" s="121" t="e">
        <f t="shared" si="3"/>
        <v>#N/A</v>
      </c>
      <c r="B23" s="28"/>
      <c r="C23" s="172" t="s">
        <v>128</v>
      </c>
      <c r="D23" s="169"/>
      <c r="E23" s="174">
        <f t="shared" ref="E23:E29" si="4">E22</f>
        <v>0.08</v>
      </c>
      <c r="F23" s="170"/>
      <c r="G23" s="121" t="e">
        <f t="shared" si="2"/>
        <v>#N/A</v>
      </c>
      <c r="I23" s="169">
        <v>8000000</v>
      </c>
      <c r="J23">
        <v>1</v>
      </c>
    </row>
    <row r="24" spans="1:11" x14ac:dyDescent="0.25">
      <c r="A24" s="121" t="e">
        <f t="shared" si="3"/>
        <v>#N/A</v>
      </c>
      <c r="B24" s="28"/>
      <c r="C24" s="172" t="s">
        <v>128</v>
      </c>
      <c r="D24" s="169"/>
      <c r="E24" s="174">
        <f t="shared" si="4"/>
        <v>0.08</v>
      </c>
      <c r="F24" s="170"/>
      <c r="G24" s="121" t="e">
        <f t="shared" si="2"/>
        <v>#N/A</v>
      </c>
      <c r="I24" s="179">
        <v>9000000</v>
      </c>
      <c r="J24">
        <v>1</v>
      </c>
    </row>
    <row r="25" spans="1:11" x14ac:dyDescent="0.25">
      <c r="A25" s="121" t="e">
        <f t="shared" si="3"/>
        <v>#N/A</v>
      </c>
      <c r="B25" s="28"/>
      <c r="C25" s="172" t="s">
        <v>128</v>
      </c>
      <c r="D25" s="169"/>
      <c r="E25" s="174">
        <f t="shared" si="4"/>
        <v>0.08</v>
      </c>
      <c r="F25" s="170"/>
      <c r="G25" s="121" t="e">
        <f t="shared" si="2"/>
        <v>#N/A</v>
      </c>
      <c r="I25" s="169">
        <v>10000000</v>
      </c>
      <c r="J25">
        <v>1</v>
      </c>
    </row>
    <row r="26" spans="1:11" x14ac:dyDescent="0.25">
      <c r="A26" s="121" t="e">
        <f t="shared" si="3"/>
        <v>#N/A</v>
      </c>
      <c r="B26" s="28"/>
      <c r="C26" s="172" t="s">
        <v>128</v>
      </c>
      <c r="D26" s="169"/>
      <c r="E26" s="174">
        <f t="shared" si="4"/>
        <v>0.08</v>
      </c>
      <c r="F26" s="170"/>
      <c r="G26" s="121" t="e">
        <f t="shared" si="2"/>
        <v>#N/A</v>
      </c>
      <c r="I26" s="169">
        <v>11000000</v>
      </c>
      <c r="J26">
        <v>2</v>
      </c>
    </row>
    <row r="27" spans="1:11" x14ac:dyDescent="0.25">
      <c r="A27" s="121" t="e">
        <f t="shared" si="3"/>
        <v>#N/A</v>
      </c>
      <c r="B27" s="28"/>
      <c r="C27" s="171" t="s">
        <v>129</v>
      </c>
      <c r="D27" s="169"/>
      <c r="E27" s="174">
        <f t="shared" si="4"/>
        <v>0.08</v>
      </c>
      <c r="F27" s="170"/>
      <c r="G27" s="121" t="e">
        <f t="shared" si="2"/>
        <v>#N/A</v>
      </c>
      <c r="I27" s="179">
        <v>12000000</v>
      </c>
      <c r="J27">
        <v>2</v>
      </c>
    </row>
    <row r="28" spans="1:11" x14ac:dyDescent="0.25">
      <c r="A28" s="121" t="e">
        <f t="shared" si="3"/>
        <v>#N/A</v>
      </c>
      <c r="B28" s="28"/>
      <c r="C28" s="171" t="s">
        <v>129</v>
      </c>
      <c r="D28" s="169"/>
      <c r="E28" s="174">
        <f t="shared" si="4"/>
        <v>0.08</v>
      </c>
      <c r="F28" s="170"/>
      <c r="G28" s="121" t="e">
        <f t="shared" si="2"/>
        <v>#N/A</v>
      </c>
      <c r="I28" s="169">
        <v>13000000</v>
      </c>
      <c r="J28">
        <v>2</v>
      </c>
    </row>
    <row r="29" spans="1:11" x14ac:dyDescent="0.25">
      <c r="A29" s="121" t="e">
        <f t="shared" si="3"/>
        <v>#N/A</v>
      </c>
      <c r="B29" s="28"/>
      <c r="C29" s="171" t="s">
        <v>129</v>
      </c>
      <c r="D29" s="169"/>
      <c r="E29" s="174">
        <f t="shared" si="4"/>
        <v>0.08</v>
      </c>
      <c r="F29" s="170"/>
      <c r="G29" s="121" t="e">
        <f t="shared" si="2"/>
        <v>#N/A</v>
      </c>
      <c r="I29" s="169">
        <v>14000000</v>
      </c>
      <c r="J29">
        <v>3</v>
      </c>
    </row>
    <row r="30" spans="1:11" x14ac:dyDescent="0.25">
      <c r="A30" s="121" t="str">
        <f>B30&amp;C30&amp;G30</f>
        <v>Господдержка СемейнаяМосква, Моск.обл., Санкт-Петербург, Лен.обл.3</v>
      </c>
      <c r="B30" s="28" t="s">
        <v>37</v>
      </c>
      <c r="C30" s="172" t="s">
        <v>128</v>
      </c>
      <c r="D30" s="169">
        <v>15000000</v>
      </c>
      <c r="E30" s="173">
        <v>0.06</v>
      </c>
      <c r="F30" s="170">
        <v>8.6499999999999994E-2</v>
      </c>
      <c r="G30" s="121">
        <f>VLOOKUP(D30,$I$21:$J$45,2,0)</f>
        <v>3</v>
      </c>
      <c r="I30" s="179">
        <v>15000000</v>
      </c>
      <c r="J30">
        <v>3</v>
      </c>
      <c r="K30" s="169">
        <f>D30-D30*F30</f>
        <v>13702500</v>
      </c>
    </row>
    <row r="31" spans="1:11" x14ac:dyDescent="0.25">
      <c r="A31" s="121" t="str">
        <f t="shared" si="3"/>
        <v>Господдержка СемейнаяМосква, Моск.обл., Санкт-Петербург, Лен.обл.4</v>
      </c>
      <c r="B31" s="28" t="s">
        <v>37</v>
      </c>
      <c r="C31" s="172" t="s">
        <v>128</v>
      </c>
      <c r="D31" s="169">
        <v>18000000</v>
      </c>
      <c r="E31" s="174">
        <f>E30</f>
        <v>0.06</v>
      </c>
      <c r="F31" s="170">
        <v>0.1305</v>
      </c>
      <c r="G31" s="121">
        <f t="shared" si="2"/>
        <v>4</v>
      </c>
      <c r="I31" s="169">
        <v>16000000</v>
      </c>
      <c r="J31" s="180">
        <v>3</v>
      </c>
      <c r="K31" s="169">
        <f t="shared" ref="K31:K38" si="5">D31-D31*F31</f>
        <v>15651000</v>
      </c>
    </row>
    <row r="32" spans="1:11" x14ac:dyDescent="0.25">
      <c r="A32" s="121" t="str">
        <f t="shared" si="3"/>
        <v>Господдержка СемейнаяМосква, Моск.обл., Санкт-Петербург, Лен.обл.5</v>
      </c>
      <c r="B32" s="28" t="s">
        <v>37</v>
      </c>
      <c r="C32" s="172" t="s">
        <v>128</v>
      </c>
      <c r="D32" s="169">
        <v>21000000</v>
      </c>
      <c r="E32" s="174">
        <f t="shared" ref="E32:E38" si="6">E31</f>
        <v>0.06</v>
      </c>
      <c r="F32" s="170">
        <v>0.16200000000000001</v>
      </c>
      <c r="G32" s="121">
        <f t="shared" si="2"/>
        <v>5</v>
      </c>
      <c r="I32" s="169">
        <v>17000000</v>
      </c>
      <c r="J32" s="180">
        <v>3</v>
      </c>
      <c r="K32" s="169">
        <f t="shared" si="5"/>
        <v>17598000</v>
      </c>
    </row>
    <row r="33" spans="1:11" x14ac:dyDescent="0.25">
      <c r="A33" s="121" t="str">
        <f t="shared" si="3"/>
        <v>Господдержка СемейнаяМосква, Моск.обл., Санкт-Петербург, Лен.обл.6</v>
      </c>
      <c r="B33" s="28" t="s">
        <v>37</v>
      </c>
      <c r="C33" s="172" t="s">
        <v>128</v>
      </c>
      <c r="D33" s="169">
        <v>24000000</v>
      </c>
      <c r="E33" s="174">
        <f t="shared" si="6"/>
        <v>0.06</v>
      </c>
      <c r="F33" s="170">
        <v>0.1855</v>
      </c>
      <c r="G33" s="121">
        <f t="shared" si="2"/>
        <v>6</v>
      </c>
      <c r="I33" s="179">
        <v>18000000</v>
      </c>
      <c r="J33">
        <v>4</v>
      </c>
      <c r="K33" s="169">
        <f t="shared" si="5"/>
        <v>19548000</v>
      </c>
    </row>
    <row r="34" spans="1:11" x14ac:dyDescent="0.25">
      <c r="A34" s="121" t="str">
        <f t="shared" si="3"/>
        <v>Господдержка СемейнаяМосква, Моск.обл., Санкт-Петербург, Лен.обл.7</v>
      </c>
      <c r="B34" s="28" t="s">
        <v>37</v>
      </c>
      <c r="C34" s="172" t="s">
        <v>128</v>
      </c>
      <c r="D34" s="169">
        <v>27000000</v>
      </c>
      <c r="E34" s="174">
        <f t="shared" si="6"/>
        <v>0.06</v>
      </c>
      <c r="F34" s="170">
        <v>0.20349999999999999</v>
      </c>
      <c r="G34" s="121">
        <f t="shared" si="2"/>
        <v>7</v>
      </c>
      <c r="I34" s="169">
        <v>19000000</v>
      </c>
      <c r="J34" s="180">
        <v>4</v>
      </c>
      <c r="K34" s="169">
        <f t="shared" si="5"/>
        <v>21505500</v>
      </c>
    </row>
    <row r="35" spans="1:11" x14ac:dyDescent="0.25">
      <c r="A35" s="121" t="str">
        <f>B35&amp;C35&amp;G35</f>
        <v>Господдержка СемейнаяМосква, Моск.обл., Санкт-Петербург, Лен.обл.8</v>
      </c>
      <c r="B35" s="28" t="s">
        <v>37</v>
      </c>
      <c r="C35" s="172" t="s">
        <v>128</v>
      </c>
      <c r="D35" s="169">
        <v>30000000</v>
      </c>
      <c r="E35" s="174">
        <f t="shared" si="6"/>
        <v>0.06</v>
      </c>
      <c r="F35" s="170">
        <v>0.2185</v>
      </c>
      <c r="G35" s="121">
        <f>VLOOKUP(D35,$I$21:$J$45,2,0)</f>
        <v>8</v>
      </c>
      <c r="I35" s="169">
        <v>20000000</v>
      </c>
      <c r="J35" s="180">
        <v>4</v>
      </c>
      <c r="K35" s="169">
        <f t="shared" si="5"/>
        <v>23445000</v>
      </c>
    </row>
    <row r="36" spans="1:11" x14ac:dyDescent="0.25">
      <c r="A36" s="266" t="str">
        <f t="shared" si="3"/>
        <v>Господдержка Семейнаядр.города1</v>
      </c>
      <c r="B36" s="156" t="s">
        <v>37</v>
      </c>
      <c r="C36" s="267" t="s">
        <v>129</v>
      </c>
      <c r="D36" s="268">
        <v>9000000</v>
      </c>
      <c r="E36" s="269">
        <f t="shared" si="6"/>
        <v>0.06</v>
      </c>
      <c r="F36" s="270">
        <v>0.13200000000000001</v>
      </c>
      <c r="G36" s="266">
        <f>VLOOKUP(D36,$I$21:$J$45,2,0)</f>
        <v>1</v>
      </c>
      <c r="H36" s="271"/>
      <c r="I36" s="272">
        <v>21000000</v>
      </c>
      <c r="J36" s="271">
        <v>5</v>
      </c>
      <c r="K36" s="268">
        <f t="shared" si="5"/>
        <v>7812000</v>
      </c>
    </row>
    <row r="37" spans="1:11" x14ac:dyDescent="0.25">
      <c r="A37" s="266" t="str">
        <f t="shared" si="3"/>
        <v>Господдержка Семейнаядр.города2</v>
      </c>
      <c r="B37" s="156" t="s">
        <v>37</v>
      </c>
      <c r="C37" s="267" t="s">
        <v>129</v>
      </c>
      <c r="D37" s="268">
        <v>12000000</v>
      </c>
      <c r="E37" s="269">
        <f t="shared" si="6"/>
        <v>0.06</v>
      </c>
      <c r="F37" s="270">
        <v>0.186</v>
      </c>
      <c r="G37" s="266">
        <f t="shared" si="2"/>
        <v>2</v>
      </c>
      <c r="H37" s="271"/>
      <c r="I37" s="268">
        <v>22000000</v>
      </c>
      <c r="J37" s="273">
        <v>5</v>
      </c>
      <c r="K37" s="268">
        <f t="shared" si="5"/>
        <v>9768000</v>
      </c>
    </row>
    <row r="38" spans="1:11" ht="30" x14ac:dyDescent="0.25">
      <c r="A38" s="266" t="str">
        <f t="shared" si="3"/>
        <v>Господдержка Семейнаядр.города3</v>
      </c>
      <c r="B38" s="274" t="s">
        <v>37</v>
      </c>
      <c r="C38" s="267" t="s">
        <v>129</v>
      </c>
      <c r="D38" s="268">
        <v>15000000</v>
      </c>
      <c r="E38" s="269">
        <f t="shared" si="6"/>
        <v>0.06</v>
      </c>
      <c r="F38" s="270">
        <v>0.219</v>
      </c>
      <c r="G38" s="266">
        <f t="shared" si="2"/>
        <v>3</v>
      </c>
      <c r="H38" s="271"/>
      <c r="I38" s="268">
        <v>23000000</v>
      </c>
      <c r="J38" s="273">
        <v>5</v>
      </c>
      <c r="K38" s="268">
        <f t="shared" si="5"/>
        <v>11715000</v>
      </c>
    </row>
    <row r="39" spans="1:11" x14ac:dyDescent="0.25">
      <c r="I39" s="179">
        <v>24000000</v>
      </c>
      <c r="J39">
        <v>6</v>
      </c>
    </row>
    <row r="40" spans="1:11" x14ac:dyDescent="0.25">
      <c r="I40" s="169">
        <v>25000000</v>
      </c>
      <c r="J40" s="180">
        <v>6</v>
      </c>
      <c r="K40" s="180"/>
    </row>
    <row r="41" spans="1:11" x14ac:dyDescent="0.25">
      <c r="I41" s="169">
        <v>26000000</v>
      </c>
      <c r="J41" s="180">
        <v>6</v>
      </c>
      <c r="K41" s="180"/>
    </row>
    <row r="42" spans="1:11" x14ac:dyDescent="0.25">
      <c r="I42" s="179">
        <v>27000000</v>
      </c>
      <c r="J42">
        <v>7</v>
      </c>
    </row>
    <row r="43" spans="1:11" x14ac:dyDescent="0.25">
      <c r="I43" s="169">
        <v>28000000</v>
      </c>
      <c r="J43" s="180">
        <v>7</v>
      </c>
      <c r="K43" s="180"/>
    </row>
    <row r="44" spans="1:11" x14ac:dyDescent="0.25">
      <c r="I44" s="169">
        <v>29000000</v>
      </c>
      <c r="J44" s="180">
        <v>7</v>
      </c>
      <c r="K44" s="180"/>
    </row>
    <row r="45" spans="1:11" x14ac:dyDescent="0.25">
      <c r="I45" s="179">
        <v>30000000</v>
      </c>
      <c r="J45">
        <v>8</v>
      </c>
    </row>
    <row r="46" spans="1:11" x14ac:dyDescent="0.25">
      <c r="I46" s="169"/>
    </row>
    <row r="47" spans="1:11" x14ac:dyDescent="0.25">
      <c r="I47" s="169"/>
    </row>
    <row r="48" spans="1:11" x14ac:dyDescent="0.25">
      <c r="I48" s="169"/>
    </row>
    <row r="49" spans="9:9" x14ac:dyDescent="0.25">
      <c r="I49" s="169"/>
    </row>
    <row r="50" spans="9:9" x14ac:dyDescent="0.25">
      <c r="I50" s="169"/>
    </row>
    <row r="51" spans="9:9" x14ac:dyDescent="0.25">
      <c r="I51" s="169"/>
    </row>
    <row r="52" spans="9:9" x14ac:dyDescent="0.25">
      <c r="I52" s="169"/>
    </row>
    <row r="53" spans="9:9" x14ac:dyDescent="0.25">
      <c r="I53" s="169"/>
    </row>
    <row r="54" spans="9:9" x14ac:dyDescent="0.25">
      <c r="I54" s="169"/>
    </row>
  </sheetData>
  <sheetProtection algorithmName="SHA-512" hashValue="RnJC3Nn/GWK0cjLY6pDdBF2ktvtxJmKp3s4AJDUJ9fMSa59jThcI4FzBc6j4bX3HemjpzZtuSkOs82OCWkKxFQ==" saltValue="zHWC29hCG7yAYx0OTJKLew==" spinCount="100000" sheet="1" objects="1" scenarios="1"/>
  <sortState ref="I21:I38">
    <sortCondition ref="I2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topLeftCell="B7" workbookViewId="0">
      <selection activeCell="G27" sqref="G27"/>
    </sheetView>
  </sheetViews>
  <sheetFormatPr defaultRowHeight="15" x14ac:dyDescent="0.25"/>
  <cols>
    <col min="1" max="1" width="3.42578125" style="23" customWidth="1"/>
    <col min="2" max="2" width="3.85546875" style="23" customWidth="1"/>
    <col min="3" max="3" width="43" style="23" customWidth="1"/>
    <col min="4" max="6" width="12.7109375" style="23" customWidth="1"/>
    <col min="7" max="9" width="18.140625" style="23" customWidth="1"/>
    <col min="10" max="10" width="17.28515625" style="23" customWidth="1"/>
    <col min="11" max="11" width="12.7109375" style="23" customWidth="1"/>
    <col min="12" max="13" width="14.28515625" style="23" customWidth="1"/>
    <col min="14" max="14" width="16.42578125" style="23" customWidth="1"/>
    <col min="15" max="15" width="14.85546875" style="23" customWidth="1"/>
    <col min="16" max="16" width="16.7109375" style="23" customWidth="1"/>
    <col min="17" max="17" width="18.85546875" style="23" customWidth="1"/>
    <col min="18" max="18" width="4.7109375" style="23" customWidth="1"/>
    <col min="19" max="16384" width="9.140625" style="23"/>
  </cols>
  <sheetData>
    <row r="1" spans="2:18" ht="15.75" thickBot="1" x14ac:dyDescent="0.3"/>
    <row r="2" spans="2:18" x14ac:dyDescent="0.2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</row>
    <row r="3" spans="2:18" x14ac:dyDescent="0.25">
      <c r="B3" s="71"/>
      <c r="C3" s="21"/>
      <c r="D3" s="181" t="s">
        <v>8</v>
      </c>
      <c r="E3" s="363">
        <v>10299000</v>
      </c>
      <c r="F3" s="364"/>
      <c r="G3" s="24"/>
      <c r="H3" s="25"/>
      <c r="I3" s="201" t="s">
        <v>9</v>
      </c>
      <c r="J3" s="22"/>
      <c r="K3" s="22"/>
      <c r="L3" s="22"/>
      <c r="M3" s="22"/>
      <c r="N3" s="22"/>
      <c r="O3" s="22"/>
      <c r="P3" s="22"/>
      <c r="Q3" s="22"/>
      <c r="R3" s="41"/>
    </row>
    <row r="4" spans="2:18" ht="42.75" customHeight="1" x14ac:dyDescent="0.25">
      <c r="B4" s="71"/>
      <c r="C4" s="21"/>
      <c r="D4" s="233" t="s">
        <v>10</v>
      </c>
      <c r="E4" s="365" t="s">
        <v>128</v>
      </c>
      <c r="F4" s="366"/>
      <c r="G4" s="24"/>
      <c r="H4" s="22"/>
      <c r="I4" s="22"/>
      <c r="J4" s="22"/>
      <c r="K4" s="22"/>
      <c r="L4" s="22"/>
      <c r="M4" s="22"/>
      <c r="N4" s="22"/>
      <c r="O4" s="22"/>
      <c r="P4" s="22"/>
      <c r="Q4" s="22"/>
      <c r="R4" s="41"/>
    </row>
    <row r="5" spans="2:18" x14ac:dyDescent="0.25">
      <c r="B5" s="71"/>
      <c r="C5" s="21"/>
      <c r="D5" s="181" t="s">
        <v>11</v>
      </c>
      <c r="E5" s="367" t="s">
        <v>37</v>
      </c>
      <c r="F5" s="368"/>
      <c r="G5" s="24"/>
      <c r="H5" s="22"/>
      <c r="I5" s="22"/>
      <c r="J5" s="22"/>
      <c r="K5" s="22"/>
      <c r="L5" s="22"/>
      <c r="M5" s="22"/>
      <c r="N5" s="22"/>
      <c r="O5" s="22"/>
      <c r="P5" s="22"/>
      <c r="Q5" s="22"/>
      <c r="R5" s="41"/>
    </row>
    <row r="6" spans="2:18" x14ac:dyDescent="0.25">
      <c r="B6" s="71"/>
      <c r="C6" s="21"/>
      <c r="D6" s="181" t="s">
        <v>45</v>
      </c>
      <c r="E6" s="363">
        <v>5000000</v>
      </c>
      <c r="F6" s="364"/>
      <c r="G6" s="75" t="str">
        <f>справочники!I5</f>
        <v/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41"/>
    </row>
    <row r="7" spans="2:18" ht="16.5" x14ac:dyDescent="0.3">
      <c r="B7" s="71"/>
      <c r="C7" s="21"/>
      <c r="D7" s="181" t="s">
        <v>44</v>
      </c>
      <c r="E7" s="369">
        <f>E6/I17</f>
        <v>0.47687447554173451</v>
      </c>
      <c r="F7" s="370"/>
      <c r="G7" s="75" t="str">
        <f>справочники!J6&amp;'Комбо-ипотека'!F1&amp;справочники!M6</f>
        <v/>
      </c>
      <c r="H7" s="22"/>
      <c r="I7" s="78"/>
      <c r="J7" s="22"/>
      <c r="K7" s="22"/>
      <c r="L7" s="22"/>
      <c r="M7" s="22"/>
      <c r="N7" s="22"/>
      <c r="O7" s="22"/>
      <c r="P7" s="22"/>
      <c r="Q7" s="22"/>
      <c r="R7" s="41"/>
    </row>
    <row r="8" spans="2:18" x14ac:dyDescent="0.25">
      <c r="B8" s="71"/>
      <c r="C8" s="21"/>
      <c r="D8" s="181" t="s">
        <v>52</v>
      </c>
      <c r="E8" s="371">
        <v>120</v>
      </c>
      <c r="F8" s="372"/>
      <c r="G8" s="75" t="str">
        <f>справочники!F1&amp;справочники!G1</f>
        <v/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41"/>
    </row>
    <row r="9" spans="2:18" x14ac:dyDescent="0.25">
      <c r="B9" s="71"/>
      <c r="C9" s="21"/>
      <c r="D9" s="181" t="s">
        <v>13</v>
      </c>
      <c r="E9" s="373" t="s">
        <v>42</v>
      </c>
      <c r="F9" s="374"/>
      <c r="H9" s="22"/>
      <c r="I9" s="22"/>
      <c r="J9" s="22"/>
      <c r="K9" s="22"/>
      <c r="L9" s="22"/>
      <c r="M9" s="22"/>
      <c r="N9" s="22"/>
      <c r="O9" s="22"/>
      <c r="P9" s="22"/>
      <c r="Q9" s="22"/>
      <c r="R9" s="41"/>
    </row>
    <row r="10" spans="2:18" x14ac:dyDescent="0.25">
      <c r="B10" s="71"/>
      <c r="C10" s="21"/>
      <c r="D10" s="181" t="s">
        <v>61</v>
      </c>
      <c r="E10" s="379">
        <v>5.8999999999999997E-2</v>
      </c>
      <c r="F10" s="380"/>
      <c r="G10" s="196" t="s">
        <v>150</v>
      </c>
      <c r="H10" s="22"/>
      <c r="I10" s="22"/>
      <c r="J10" s="22"/>
      <c r="K10" s="22"/>
      <c r="O10" s="22"/>
      <c r="P10" s="22"/>
      <c r="Q10" s="22"/>
      <c r="R10" s="41"/>
    </row>
    <row r="11" spans="2:18" x14ac:dyDescent="0.25">
      <c r="B11" s="71"/>
      <c r="C11" s="21"/>
      <c r="D11" s="181" t="s">
        <v>15</v>
      </c>
      <c r="E11" s="375" t="s">
        <v>16</v>
      </c>
      <c r="F11" s="376"/>
      <c r="G11" s="24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41"/>
    </row>
    <row r="12" spans="2:18" x14ac:dyDescent="0.25">
      <c r="B12" s="71"/>
      <c r="C12" s="21"/>
      <c r="D12" s="181" t="s">
        <v>17</v>
      </c>
      <c r="E12" s="375" t="s">
        <v>16</v>
      </c>
      <c r="F12" s="376"/>
      <c r="G12" s="24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41"/>
    </row>
    <row r="13" spans="2:18" x14ac:dyDescent="0.25">
      <c r="B13" s="71"/>
      <c r="C13" s="21"/>
      <c r="D13" s="181" t="s">
        <v>18</v>
      </c>
      <c r="E13" s="377" t="s">
        <v>59</v>
      </c>
      <c r="F13" s="378"/>
      <c r="G13" s="24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41"/>
    </row>
    <row r="14" spans="2:18" x14ac:dyDescent="0.25">
      <c r="B14" s="71"/>
      <c r="C14" s="22"/>
      <c r="D14" s="22"/>
      <c r="E14" s="22"/>
      <c r="F14" s="22"/>
      <c r="G14" s="76" t="str">
        <f>справочники!F4</f>
        <v/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41"/>
    </row>
    <row r="15" spans="2:18" s="186" customFormat="1" ht="108" x14ac:dyDescent="0.3">
      <c r="B15" s="182"/>
      <c r="C15" s="197"/>
      <c r="D15" s="184" t="s">
        <v>20</v>
      </c>
      <c r="E15" s="184" t="s">
        <v>21</v>
      </c>
      <c r="F15" s="184" t="s">
        <v>22</v>
      </c>
      <c r="G15" s="184" t="s">
        <v>23</v>
      </c>
      <c r="H15" s="184" t="s">
        <v>24</v>
      </c>
      <c r="I15" s="184" t="s">
        <v>25</v>
      </c>
      <c r="J15" s="184" t="s">
        <v>26</v>
      </c>
      <c r="K15" s="184" t="s">
        <v>27</v>
      </c>
      <c r="L15" s="184" t="s">
        <v>28</v>
      </c>
      <c r="M15" s="184" t="s">
        <v>29</v>
      </c>
      <c r="N15" s="184" t="s">
        <v>30</v>
      </c>
      <c r="O15" s="184" t="s">
        <v>31</v>
      </c>
      <c r="P15" s="184" t="s">
        <v>32</v>
      </c>
      <c r="Q15" s="184" t="s">
        <v>33</v>
      </c>
      <c r="R15" s="185"/>
    </row>
    <row r="16" spans="2:18" s="186" customFormat="1" ht="16.5" x14ac:dyDescent="0.3">
      <c r="B16" s="182"/>
      <c r="C16" s="198" t="str">
        <f>E5</f>
        <v>Господдержка Семейная</v>
      </c>
      <c r="D16" s="188">
        <f>справочники!K7</f>
        <v>5.9899999999999995E-2</v>
      </c>
      <c r="E16" s="188">
        <f>D16</f>
        <v>5.9899999999999995E-2</v>
      </c>
      <c r="F16" s="188">
        <f>справочники!L7</f>
        <v>3.9E-2</v>
      </c>
      <c r="G16" s="189">
        <f>I16-H16</f>
        <v>5514047.8668054119</v>
      </c>
      <c r="H16" s="189">
        <f>E6</f>
        <v>5000000</v>
      </c>
      <c r="I16" s="189">
        <f>(E3-E6)/(1-F16)+E6</f>
        <v>10514047.866805412</v>
      </c>
      <c r="J16" s="189">
        <f>G16*F16</f>
        <v>215047.86680541106</v>
      </c>
      <c r="K16" s="188">
        <f>J16/E3</f>
        <v>2.0880460899641816E-2</v>
      </c>
      <c r="L16" s="189">
        <f>G16*D16/12/(1-(1+D16/12)^(-E8))</f>
        <v>61189.549568005932</v>
      </c>
      <c r="M16" s="189">
        <f>L16</f>
        <v>61189.549568005932</v>
      </c>
      <c r="N16" s="189">
        <v>0</v>
      </c>
      <c r="O16" s="189">
        <v>0</v>
      </c>
      <c r="P16" s="189">
        <f>ROUND(L16*E8-G16,2)</f>
        <v>1828698.08</v>
      </c>
      <c r="Q16" s="189">
        <v>0</v>
      </c>
      <c r="R16" s="185"/>
    </row>
    <row r="17" spans="2:18" s="186" customFormat="1" ht="16.5" x14ac:dyDescent="0.3">
      <c r="B17" s="182"/>
      <c r="C17" s="198" t="str">
        <f>"Ставка мечты + "&amp;C16</f>
        <v>Ставка мечты + Господдержка Семейная</v>
      </c>
      <c r="D17" s="188">
        <f>E10+справочники!J10</f>
        <v>5.8999999999999997E-2</v>
      </c>
      <c r="E17" s="188">
        <f>IF(E9="весь срок кредита",D17,справочники!J11)</f>
        <v>0.06</v>
      </c>
      <c r="F17" s="188">
        <f>VLOOKUP(E10,справочники!$B$20:$C$112,2,0)</f>
        <v>3.39E-2</v>
      </c>
      <c r="G17" s="189">
        <f>I17-H17</f>
        <v>5484939.4472621884</v>
      </c>
      <c r="H17" s="189">
        <f>E6</f>
        <v>5000000</v>
      </c>
      <c r="I17" s="189">
        <f>(E3-E6)/(1-F17)+E6</f>
        <v>10484939.447262188</v>
      </c>
      <c r="J17" s="189">
        <f>G17*F17</f>
        <v>185939.44726218819</v>
      </c>
      <c r="K17" s="188">
        <f>J17/E3</f>
        <v>1.805412634840161E-2</v>
      </c>
      <c r="L17" s="189">
        <f>график!F2</f>
        <v>60618.99685258625</v>
      </c>
      <c r="M17" s="189">
        <f>график!F3</f>
        <v>60765.039919523697</v>
      </c>
      <c r="N17" s="189">
        <f>L16-L17</f>
        <v>570.5527154196825</v>
      </c>
      <c r="O17" s="189">
        <f>M16-M17</f>
        <v>424.50964848223521</v>
      </c>
      <c r="P17" s="189">
        <f>график!F9</f>
        <v>1798102.76</v>
      </c>
      <c r="Q17" s="189">
        <f>P16-P17</f>
        <v>30595.320000000065</v>
      </c>
      <c r="R17" s="185"/>
    </row>
    <row r="18" spans="2:18" s="186" customFormat="1" ht="16.5" x14ac:dyDescent="0.3">
      <c r="B18" s="182"/>
      <c r="C18" s="190"/>
      <c r="D18" s="190"/>
      <c r="E18" s="190"/>
      <c r="F18" s="190"/>
      <c r="G18" s="199" t="str">
        <f>'Комбо-ипотека'!C11</f>
        <v/>
      </c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85"/>
    </row>
    <row r="19" spans="2:18" s="186" customFormat="1" ht="16.5" x14ac:dyDescent="0.3">
      <c r="B19" s="182"/>
      <c r="C19" s="200" t="s">
        <v>77</v>
      </c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85"/>
    </row>
    <row r="20" spans="2:18" s="186" customFormat="1" ht="17.25" thickBot="1" x14ac:dyDescent="0.35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5"/>
    </row>
    <row r="23" spans="2:18" x14ac:dyDescent="0.25">
      <c r="G23" s="97"/>
    </row>
  </sheetData>
  <sheetProtection algorithmName="SHA-512" hashValue="9BiJaYOitubiULPxkZV/ACCn7ErxHL4uzLTTBLUMln2I1ZNFeQW3/dTpS+c2ERUWpr0nho7hXvm5e4b5+QzMVQ==" saltValue="JA/L1hxaB/aZfGgU6tJ2+g==" spinCount="100000" sheet="1" objects="1" scenarios="1"/>
  <mergeCells count="11">
    <mergeCell ref="E9:F9"/>
    <mergeCell ref="E11:F11"/>
    <mergeCell ref="E12:F12"/>
    <mergeCell ref="E13:F13"/>
    <mergeCell ref="E6:F6"/>
    <mergeCell ref="E10:F10"/>
    <mergeCell ref="E3:F3"/>
    <mergeCell ref="E4:F4"/>
    <mergeCell ref="E5:F5"/>
    <mergeCell ref="E7:F7"/>
    <mergeCell ref="E8:F8"/>
  </mergeCells>
  <conditionalFormatting sqref="C16:Q17">
    <cfRule type="expression" dxfId="5" priority="8">
      <formula>#REF!&gt;0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справочники!$M$2:$M$3</xm:f>
          </x14:formula1>
          <xm:sqref>E12:F12</xm:sqref>
        </x14:dataValidation>
        <x14:dataValidation type="list" allowBlank="1" showInputMessage="1" showErrorMessage="1">
          <x14:formula1>
            <xm:f>справочники!$A$2:$A$3</xm:f>
          </x14:formula1>
          <xm:sqref>E4:F4</xm:sqref>
        </x14:dataValidation>
        <x14:dataValidation type="list" allowBlank="1" showInputMessage="1" showErrorMessage="1">
          <x14:formula1>
            <xm:f>справочники!$A$7:$A$11</xm:f>
          </x14:formula1>
          <xm:sqref>E5:F5</xm:sqref>
        </x14:dataValidation>
        <x14:dataValidation type="list" allowBlank="1" showInputMessage="1" showErrorMessage="1">
          <x14:formula1>
            <xm:f>справочники!$A$13:$A$16</xm:f>
          </x14:formula1>
          <xm:sqref>E9:F9</xm:sqref>
        </x14:dataValidation>
        <x14:dataValidation type="list" allowBlank="1" showInputMessage="1" showErrorMessage="1">
          <x14:formula1>
            <xm:f>справочники!$J$2:$J$3</xm:f>
          </x14:formula1>
          <xm:sqref>E11:F11</xm:sqref>
        </x14:dataValidation>
        <x14:dataValidation type="list" allowBlank="1" showInputMessage="1" showErrorMessage="1">
          <x14:formula1>
            <xm:f>справочники!$P$2:$P$3</xm:f>
          </x14:formula1>
          <xm:sqref>E13:F13</xm:sqref>
        </x14:dataValidation>
        <x14:dataValidation type="list" allowBlank="1" showInputMessage="1" showErrorMessage="1">
          <x14:formula1>
            <xm:f>справочники!$B$20:$B$96</xm:f>
          </x14:formula1>
          <xm:sqref>E10:F10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workbookViewId="0">
      <selection activeCell="D15" sqref="D15"/>
    </sheetView>
  </sheetViews>
  <sheetFormatPr defaultRowHeight="15" x14ac:dyDescent="0.25"/>
  <cols>
    <col min="1" max="1" width="3.42578125" style="23" customWidth="1"/>
    <col min="2" max="2" width="3.7109375" style="23" customWidth="1"/>
    <col min="3" max="3" width="45.42578125" style="23" customWidth="1"/>
    <col min="4" max="4" width="12.7109375" style="23" customWidth="1"/>
    <col min="5" max="5" width="13.42578125" style="23" customWidth="1"/>
    <col min="6" max="6" width="17.28515625" style="23" customWidth="1"/>
    <col min="7" max="7" width="17.140625" style="23" customWidth="1"/>
    <col min="8" max="8" width="18" style="23" customWidth="1"/>
    <col min="9" max="9" width="16.85546875" style="23" customWidth="1"/>
    <col min="10" max="10" width="12.85546875" style="23" customWidth="1"/>
    <col min="11" max="11" width="19.42578125" style="23" customWidth="1"/>
    <col min="12" max="12" width="19" style="23" customWidth="1"/>
    <col min="13" max="13" width="3.7109375" style="23" customWidth="1"/>
    <col min="14" max="15" width="8.7109375" style="23" customWidth="1"/>
    <col min="16" max="16384" width="9.140625" style="23"/>
  </cols>
  <sheetData>
    <row r="1" spans="2:13" ht="15.75" thickBot="1" x14ac:dyDescent="0.3"/>
    <row r="2" spans="2:13" ht="16.5" x14ac:dyDescent="0.3">
      <c r="B2" s="68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70"/>
    </row>
    <row r="3" spans="2:13" ht="16.5" x14ac:dyDescent="0.3">
      <c r="B3" s="135"/>
      <c r="C3" s="181" t="s">
        <v>8</v>
      </c>
      <c r="D3" s="363">
        <v>14900000</v>
      </c>
      <c r="E3" s="364"/>
      <c r="F3" s="203"/>
      <c r="G3" s="204"/>
      <c r="H3" s="201" t="s">
        <v>9</v>
      </c>
      <c r="I3" s="190"/>
      <c r="J3" s="211" t="s">
        <v>91</v>
      </c>
      <c r="K3" s="205" t="s">
        <v>92</v>
      </c>
      <c r="L3" s="212">
        <f>'Комбо-ипотека'!C2</f>
        <v>0.2001</v>
      </c>
      <c r="M3" s="41"/>
    </row>
    <row r="4" spans="2:13" ht="41.25" customHeight="1" x14ac:dyDescent="0.3">
      <c r="B4" s="135"/>
      <c r="C4" s="233" t="s">
        <v>10</v>
      </c>
      <c r="D4" s="365" t="s">
        <v>129</v>
      </c>
      <c r="E4" s="366"/>
      <c r="F4" s="203"/>
      <c r="G4" s="190"/>
      <c r="H4" s="190"/>
      <c r="I4" s="190"/>
      <c r="J4" s="210"/>
      <c r="K4" s="381" t="str">
        <f>"Максимальная сумма кредита для объекта, расположенного "&amp;D4</f>
        <v>Максимальная сумма кредита для объекта, расположенного др.города</v>
      </c>
      <c r="L4" s="213"/>
      <c r="M4" s="41"/>
    </row>
    <row r="5" spans="2:13" ht="15" customHeight="1" x14ac:dyDescent="0.3">
      <c r="B5" s="135"/>
      <c r="C5" s="181" t="s">
        <v>11</v>
      </c>
      <c r="D5" s="367" t="s">
        <v>37</v>
      </c>
      <c r="E5" s="368"/>
      <c r="F5" s="203"/>
      <c r="G5" s="203"/>
      <c r="H5" s="203"/>
      <c r="I5" s="203"/>
      <c r="J5" s="210"/>
      <c r="K5" s="381"/>
      <c r="L5" s="214" t="str">
        <f>'Комбо-ипотека'!E15/1000/1000&amp;" млн.руб."</f>
        <v>15 млн.руб.</v>
      </c>
      <c r="M5" s="41"/>
    </row>
    <row r="6" spans="2:13" ht="15" customHeight="1" x14ac:dyDescent="0.25">
      <c r="B6" s="135"/>
      <c r="C6" s="181" t="s">
        <v>45</v>
      </c>
      <c r="D6" s="363">
        <v>5000000</v>
      </c>
      <c r="E6" s="364"/>
      <c r="F6" s="206" t="str">
        <f>справочники!I5</f>
        <v/>
      </c>
      <c r="G6" s="206"/>
      <c r="H6" s="206"/>
      <c r="I6" s="206"/>
      <c r="J6" s="210"/>
      <c r="K6" s="381"/>
      <c r="L6" s="209"/>
      <c r="M6" s="41"/>
    </row>
    <row r="7" spans="2:13" ht="16.5" x14ac:dyDescent="0.3">
      <c r="B7" s="135"/>
      <c r="C7" s="181" t="s">
        <v>44</v>
      </c>
      <c r="D7" s="369">
        <f>D6/H15</f>
        <v>0.28286852589641431</v>
      </c>
      <c r="E7" s="370"/>
      <c r="F7" s="207" t="str">
        <f>'Комбо-ипотека'!F1</f>
        <v/>
      </c>
      <c r="G7" s="206"/>
      <c r="H7" s="206"/>
      <c r="I7" s="206"/>
      <c r="J7" s="215"/>
      <c r="K7" s="381"/>
      <c r="L7" s="209"/>
      <c r="M7" s="41"/>
    </row>
    <row r="8" spans="2:13" x14ac:dyDescent="0.25">
      <c r="B8" s="135"/>
      <c r="C8" s="181" t="s">
        <v>52</v>
      </c>
      <c r="D8" s="371">
        <v>180</v>
      </c>
      <c r="E8" s="372"/>
      <c r="F8" s="206" t="str">
        <f>'Комбо-ипотека'!F2</f>
        <v/>
      </c>
      <c r="G8" s="206"/>
      <c r="H8" s="206"/>
      <c r="I8" s="206"/>
      <c r="J8" s="210"/>
      <c r="K8" s="381"/>
      <c r="L8" s="209"/>
      <c r="M8" s="41"/>
    </row>
    <row r="9" spans="2:13" ht="16.5" x14ac:dyDescent="0.3">
      <c r="B9" s="135"/>
      <c r="C9" s="181" t="s">
        <v>15</v>
      </c>
      <c r="D9" s="375" t="s">
        <v>16</v>
      </c>
      <c r="E9" s="376"/>
      <c r="F9" s="203"/>
      <c r="G9" s="203"/>
      <c r="H9" s="203"/>
      <c r="I9" s="203"/>
      <c r="J9" s="210"/>
      <c r="K9" s="381"/>
      <c r="L9" s="209"/>
      <c r="M9" s="41"/>
    </row>
    <row r="10" spans="2:13" ht="16.5" x14ac:dyDescent="0.3">
      <c r="B10" s="135"/>
      <c r="C10" s="181" t="s">
        <v>18</v>
      </c>
      <c r="D10" s="377" t="s">
        <v>59</v>
      </c>
      <c r="E10" s="378"/>
      <c r="F10" s="203"/>
      <c r="G10" s="203"/>
      <c r="H10" s="203"/>
      <c r="I10" s="203"/>
      <c r="J10" s="210"/>
      <c r="K10" s="381"/>
      <c r="L10" s="209"/>
      <c r="M10" s="41"/>
    </row>
    <row r="11" spans="2:13" ht="16.5" x14ac:dyDescent="0.3">
      <c r="B11" s="71"/>
      <c r="C11" s="190"/>
      <c r="D11" s="190"/>
      <c r="E11" s="190"/>
      <c r="F11" s="191" t="str">
        <f>справочники!F4</f>
        <v/>
      </c>
      <c r="G11" s="191"/>
      <c r="H11" s="191"/>
      <c r="I11" s="191"/>
      <c r="J11" s="190"/>
      <c r="K11" s="208"/>
      <c r="L11" s="203"/>
      <c r="M11" s="41"/>
    </row>
    <row r="12" spans="2:13" ht="94.5" x14ac:dyDescent="0.3">
      <c r="B12" s="71"/>
      <c r="C12" s="183"/>
      <c r="D12" s="184" t="s">
        <v>20</v>
      </c>
      <c r="E12" s="184" t="s">
        <v>22</v>
      </c>
      <c r="F12" s="184" t="s">
        <v>23</v>
      </c>
      <c r="G12" s="184" t="s">
        <v>24</v>
      </c>
      <c r="H12" s="184" t="s">
        <v>25</v>
      </c>
      <c r="I12" s="184" t="s">
        <v>26</v>
      </c>
      <c r="J12" s="184" t="s">
        <v>27</v>
      </c>
      <c r="K12" s="184" t="s">
        <v>93</v>
      </c>
      <c r="L12" s="184" t="s">
        <v>32</v>
      </c>
      <c r="M12" s="41"/>
    </row>
    <row r="13" spans="2:13" ht="16.5" hidden="1" x14ac:dyDescent="0.3">
      <c r="B13" s="71"/>
      <c r="C13" s="187" t="str">
        <f>D5</f>
        <v>Господдержка Семейная</v>
      </c>
      <c r="D13" s="188">
        <f>справочники!J11</f>
        <v>0.06</v>
      </c>
      <c r="E13" s="189">
        <v>0</v>
      </c>
      <c r="F13" s="189">
        <f>D3-D6</f>
        <v>9900000</v>
      </c>
      <c r="G13" s="189">
        <f>D6</f>
        <v>5000000</v>
      </c>
      <c r="H13" s="189">
        <f>D3</f>
        <v>14900000</v>
      </c>
      <c r="I13" s="189">
        <f>F13*E13</f>
        <v>0</v>
      </c>
      <c r="J13" s="189">
        <f>I13/D3</f>
        <v>0</v>
      </c>
      <c r="K13" s="189">
        <f>F13*D13/12/(1-(1+D13/12)^(-D8))</f>
        <v>83541.825976798238</v>
      </c>
      <c r="L13" s="189">
        <f>K13*D8-F13</f>
        <v>5137528.6758236829</v>
      </c>
      <c r="M13" s="41"/>
    </row>
    <row r="14" spans="2:13" ht="16.5" hidden="1" x14ac:dyDescent="0.3">
      <c r="B14" s="71"/>
      <c r="C14" s="187" t="str">
        <f>"Ставка мечты + "&amp;C13</f>
        <v>Ставка мечты + Господдержка Семейная</v>
      </c>
      <c r="D14" s="188" t="e">
        <f>#REF!</f>
        <v>#REF!</v>
      </c>
      <c r="E14" s="188" t="e">
        <f>VLOOKUP(D14,справочники!$B$20:$C$112,2,0)</f>
        <v>#REF!</v>
      </c>
      <c r="F14" s="189" t="e">
        <f>H14-G14</f>
        <v>#REF!</v>
      </c>
      <c r="G14" s="189">
        <f>D6</f>
        <v>5000000</v>
      </c>
      <c r="H14" s="189" t="e">
        <f>(D3-D6)/(1-E14)+D6</f>
        <v>#REF!</v>
      </c>
      <c r="I14" s="189" t="e">
        <f>F14*E14</f>
        <v>#REF!</v>
      </c>
      <c r="J14" s="188" t="e">
        <f>I14/D3</f>
        <v>#REF!</v>
      </c>
      <c r="K14" s="189">
        <f>график!F2</f>
        <v>60618.99685258625</v>
      </c>
      <c r="L14" s="189">
        <f>график!F9</f>
        <v>1798102.76</v>
      </c>
      <c r="M14" s="41"/>
    </row>
    <row r="15" spans="2:13" s="221" customFormat="1" ht="16.5" x14ac:dyDescent="0.3">
      <c r="B15" s="216"/>
      <c r="C15" s="217" t="str">
        <f>"Комбо + "&amp;C13</f>
        <v>Комбо + Господдержка Семейная</v>
      </c>
      <c r="D15" s="218">
        <f>'Комбо-ипотека'!C12</f>
        <v>0.06</v>
      </c>
      <c r="E15" s="218">
        <f>'Комбо-ипотека'!C13</f>
        <v>0.219</v>
      </c>
      <c r="F15" s="219">
        <f>H15-G15</f>
        <v>12676056.33802817</v>
      </c>
      <c r="G15" s="219">
        <f>D6</f>
        <v>5000000</v>
      </c>
      <c r="H15" s="219">
        <f>(D3-D6)/(1-E15)+D6</f>
        <v>17676056.33802817</v>
      </c>
      <c r="I15" s="219">
        <f>F15*E15</f>
        <v>2776056.3380281692</v>
      </c>
      <c r="J15" s="218">
        <f>I15/D3</f>
        <v>0.18631250590793083</v>
      </c>
      <c r="K15" s="219">
        <f>'Комбо-ипотека'!C17</f>
        <v>106967.76693571918</v>
      </c>
      <c r="L15" s="219">
        <f>K15*D8-F15</f>
        <v>6578141.7104012817</v>
      </c>
      <c r="M15" s="220"/>
    </row>
    <row r="16" spans="2:13" ht="16.5" x14ac:dyDescent="0.3">
      <c r="B16" s="71"/>
      <c r="C16" s="190"/>
      <c r="D16" s="190"/>
      <c r="E16" s="190"/>
      <c r="F16" s="199" t="str">
        <f>'Комбо-ипотека'!C11</f>
        <v/>
      </c>
      <c r="G16" s="190"/>
      <c r="H16" s="190"/>
      <c r="I16" s="190"/>
      <c r="J16" s="190"/>
      <c r="K16" s="190"/>
      <c r="L16" s="192"/>
      <c r="M16" s="41"/>
    </row>
    <row r="17" spans="2:13" ht="16.5" x14ac:dyDescent="0.3">
      <c r="B17" s="71"/>
      <c r="C17" s="200" t="s">
        <v>77</v>
      </c>
      <c r="D17" s="190"/>
      <c r="E17" s="190"/>
      <c r="F17" s="190"/>
      <c r="G17" s="190"/>
      <c r="H17" s="190"/>
      <c r="I17" s="190"/>
      <c r="J17" s="190"/>
      <c r="K17" s="190"/>
      <c r="L17" s="190"/>
      <c r="M17" s="41"/>
    </row>
    <row r="18" spans="2:13" ht="17.25" thickBot="1" x14ac:dyDescent="0.35">
      <c r="B18" s="72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74"/>
    </row>
    <row r="21" spans="2:13" x14ac:dyDescent="0.25">
      <c r="G21" s="97"/>
    </row>
    <row r="22" spans="2:13" x14ac:dyDescent="0.25">
      <c r="C22" s="97"/>
    </row>
  </sheetData>
  <sheetProtection algorithmName="SHA-512" hashValue="CHaTIS8BWtFeHpcYWRXPrn+d+smOZzGMX7tl96QbvuwbFzCWjKfdVm7EzAxZwcU9bmrFq7aRuSCFOmwiCduxTg==" saltValue="S5Egpo8VRll8f26tt2Ka4g==" spinCount="100000" sheet="1" objects="1" scenarios="1"/>
  <mergeCells count="9">
    <mergeCell ref="K4:K10"/>
    <mergeCell ref="D9:E9"/>
    <mergeCell ref="D10:E10"/>
    <mergeCell ref="D3:E3"/>
    <mergeCell ref="D4:E4"/>
    <mergeCell ref="D5:E5"/>
    <mergeCell ref="D6:E6"/>
    <mergeCell ref="D7:E7"/>
    <mergeCell ref="D8:E8"/>
  </mergeCells>
  <conditionalFormatting sqref="C15:L15">
    <cfRule type="expression" dxfId="4" priority="7">
      <formula>$D$15=0</formula>
    </cfRule>
  </conditionalFormatting>
  <conditionalFormatting sqref="C13 D13:L14">
    <cfRule type="expression" dxfId="3" priority="5">
      <formula>$D$15&gt;0</formula>
    </cfRule>
  </conditionalFormatting>
  <conditionalFormatting sqref="C14">
    <cfRule type="expression" dxfId="2" priority="3">
      <formula>$D$15&gt;0</formula>
    </cfRule>
  </conditionalFormatting>
  <conditionalFormatting sqref="F15">
    <cfRule type="expression" dxfId="1" priority="1">
      <formula>$F$16&lt;&gt;""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справочники!$P$2:$P$3</xm:f>
          </x14:formula1>
          <xm:sqref>D10:E10</xm:sqref>
        </x14:dataValidation>
        <x14:dataValidation type="list" allowBlank="1" showInputMessage="1" showErrorMessage="1">
          <x14:formula1>
            <xm:f>справочники!$J$2:$J$3</xm:f>
          </x14:formula1>
          <xm:sqref>D9:E9</xm:sqref>
        </x14:dataValidation>
        <x14:dataValidation type="list" allowBlank="1" showInputMessage="1" showErrorMessage="1">
          <x14:formula1>
            <xm:f>'Комбо-ипотека'!$B$6:$B$7</xm:f>
          </x14:formula1>
          <xm:sqref>D5:E5</xm:sqref>
        </x14:dataValidation>
        <x14:dataValidation type="list" allowBlank="1" showInputMessage="1" showErrorMessage="1">
          <x14:formula1>
            <xm:f>справочники!$A$2:$A$3</xm:f>
          </x14:formula1>
          <xm:sqref>D4:E4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48"/>
  <sheetViews>
    <sheetView tabSelected="1" workbookViewId="0">
      <selection activeCell="D13" sqref="D13:E13"/>
    </sheetView>
  </sheetViews>
  <sheetFormatPr defaultRowHeight="15" x14ac:dyDescent="0.25"/>
  <cols>
    <col min="1" max="1" width="4.140625" style="23" customWidth="1"/>
    <col min="2" max="2" width="9.140625" style="23"/>
    <col min="3" max="3" width="48.42578125" style="23" customWidth="1"/>
    <col min="4" max="4" width="12.7109375" style="23" customWidth="1"/>
    <col min="5" max="5" width="17.28515625" style="23" customWidth="1"/>
    <col min="6" max="6" width="13.140625" style="23" bestFit="1" customWidth="1"/>
    <col min="7" max="7" width="14.5703125" style="23" customWidth="1"/>
    <col min="8" max="8" width="15.5703125" style="23" customWidth="1"/>
    <col min="9" max="9" width="18.5703125" style="23" bestFit="1" customWidth="1"/>
    <col min="10" max="10" width="4.42578125" style="23" customWidth="1"/>
    <col min="11" max="16384" width="9.140625" style="23"/>
  </cols>
  <sheetData>
    <row r="1" spans="2:10" ht="15.75" thickBot="1" x14ac:dyDescent="0.3"/>
    <row r="2" spans="2:10" ht="16.5" x14ac:dyDescent="0.3">
      <c r="B2" s="222"/>
      <c r="C2" s="202"/>
      <c r="D2" s="202"/>
      <c r="E2" s="202"/>
      <c r="F2" s="202"/>
      <c r="G2" s="202"/>
      <c r="H2" s="202"/>
      <c r="I2" s="202"/>
      <c r="J2" s="223"/>
    </row>
    <row r="3" spans="2:10" ht="30" customHeight="1" x14ac:dyDescent="0.3">
      <c r="B3" s="182"/>
      <c r="C3" s="234" t="s">
        <v>10</v>
      </c>
      <c r="D3" s="365" t="s">
        <v>128</v>
      </c>
      <c r="E3" s="366"/>
      <c r="F3" s="235" t="s">
        <v>126</v>
      </c>
      <c r="G3" s="190"/>
      <c r="H3" s="190"/>
      <c r="I3" s="190"/>
      <c r="J3" s="185"/>
    </row>
    <row r="4" spans="2:10" ht="16.5" x14ac:dyDescent="0.3">
      <c r="B4" s="182"/>
      <c r="C4" s="229" t="s">
        <v>100</v>
      </c>
      <c r="D4" s="363">
        <v>25000000</v>
      </c>
      <c r="E4" s="364"/>
      <c r="F4" s="190"/>
      <c r="G4" s="190"/>
      <c r="H4" s="190"/>
      <c r="I4" s="190"/>
      <c r="J4" s="185"/>
    </row>
    <row r="5" spans="2:10" ht="17.25" x14ac:dyDescent="0.3">
      <c r="B5" s="182"/>
      <c r="C5" s="229" t="s">
        <v>45</v>
      </c>
      <c r="D5" s="363">
        <v>5000000</v>
      </c>
      <c r="E5" s="364"/>
      <c r="F5" s="190"/>
      <c r="G5" s="190"/>
      <c r="H5" s="230" t="s">
        <v>91</v>
      </c>
      <c r="I5" s="203"/>
      <c r="J5" s="185"/>
    </row>
    <row r="6" spans="2:10" ht="16.5" x14ac:dyDescent="0.3">
      <c r="B6" s="182"/>
      <c r="C6" s="229" t="s">
        <v>44</v>
      </c>
      <c r="D6" s="385">
        <f>IFERROR(D5/D4,0)</f>
        <v>0.2</v>
      </c>
      <c r="E6" s="386"/>
      <c r="F6" s="190"/>
      <c r="G6" s="190"/>
      <c r="H6" s="205" t="s">
        <v>96</v>
      </c>
      <c r="I6" s="225">
        <v>0.2001</v>
      </c>
      <c r="J6" s="185"/>
    </row>
    <row r="7" spans="2:10" ht="16.5" x14ac:dyDescent="0.3">
      <c r="B7" s="182"/>
      <c r="C7" s="229" t="s">
        <v>97</v>
      </c>
      <c r="D7" s="392">
        <f>D4-D5</f>
        <v>20000000</v>
      </c>
      <c r="E7" s="393"/>
      <c r="F7" s="190"/>
      <c r="G7" s="190"/>
      <c r="H7" s="226" t="s">
        <v>98</v>
      </c>
      <c r="I7" s="231">
        <f>Комбо2!B24</f>
        <v>30000000</v>
      </c>
      <c r="J7" s="185"/>
    </row>
    <row r="8" spans="2:10" ht="16.5" x14ac:dyDescent="0.3">
      <c r="B8" s="182"/>
      <c r="C8" s="229" t="s">
        <v>52</v>
      </c>
      <c r="D8" s="371">
        <v>240</v>
      </c>
      <c r="E8" s="372"/>
      <c r="F8" s="190"/>
      <c r="G8" s="190"/>
      <c r="H8" s="226" t="s">
        <v>120</v>
      </c>
      <c r="I8" s="232" t="s">
        <v>121</v>
      </c>
      <c r="J8" s="185"/>
    </row>
    <row r="9" spans="2:10" ht="16.5" x14ac:dyDescent="0.3">
      <c r="B9" s="182"/>
      <c r="C9" s="229" t="s">
        <v>99</v>
      </c>
      <c r="D9" s="388">
        <f>D8/12</f>
        <v>20</v>
      </c>
      <c r="E9" s="389"/>
      <c r="F9" s="190"/>
      <c r="G9" s="190"/>
      <c r="H9" s="190"/>
      <c r="I9" s="190"/>
      <c r="J9" s="185"/>
    </row>
    <row r="10" spans="2:10" ht="16.5" x14ac:dyDescent="0.3">
      <c r="B10" s="182"/>
      <c r="C10" s="229" t="s">
        <v>18</v>
      </c>
      <c r="D10" s="377" t="s">
        <v>19</v>
      </c>
      <c r="E10" s="378"/>
      <c r="F10" s="190"/>
      <c r="G10" s="190"/>
      <c r="H10" s="190"/>
      <c r="I10" s="190"/>
      <c r="J10" s="185"/>
    </row>
    <row r="11" spans="2:10" ht="16.5" hidden="1" x14ac:dyDescent="0.3">
      <c r="B11" s="182"/>
      <c r="C11" s="229" t="s">
        <v>15</v>
      </c>
      <c r="D11" s="377" t="s">
        <v>16</v>
      </c>
      <c r="E11" s="378"/>
      <c r="F11" s="190"/>
      <c r="G11" s="190"/>
      <c r="H11" s="190"/>
      <c r="I11" s="190"/>
      <c r="J11" s="185"/>
    </row>
    <row r="12" spans="2:10" ht="16.5" hidden="1" x14ac:dyDescent="0.3">
      <c r="B12" s="182"/>
      <c r="C12" s="229" t="s">
        <v>116</v>
      </c>
      <c r="D12" s="377" t="s">
        <v>16</v>
      </c>
      <c r="E12" s="378"/>
      <c r="F12" s="190"/>
      <c r="G12" s="190"/>
      <c r="H12" s="190"/>
      <c r="I12" s="190"/>
      <c r="J12" s="185"/>
    </row>
    <row r="13" spans="2:10" ht="16.5" x14ac:dyDescent="0.3">
      <c r="B13" s="182"/>
      <c r="C13" s="229" t="s">
        <v>11</v>
      </c>
      <c r="D13" s="390" t="s">
        <v>37</v>
      </c>
      <c r="E13" s="391"/>
      <c r="F13" s="190"/>
      <c r="G13" s="190"/>
      <c r="H13" s="190"/>
      <c r="I13" s="190"/>
      <c r="J13" s="185"/>
    </row>
    <row r="14" spans="2:10" ht="16.5" hidden="1" x14ac:dyDescent="0.3">
      <c r="B14" s="182"/>
      <c r="C14" s="229" t="s">
        <v>111</v>
      </c>
      <c r="D14" s="387" t="s">
        <v>112</v>
      </c>
      <c r="E14" s="387"/>
      <c r="F14" s="190"/>
      <c r="G14" s="190"/>
      <c r="H14" s="190"/>
      <c r="I14" s="190"/>
      <c r="J14" s="185"/>
    </row>
    <row r="15" spans="2:10" ht="16.5" x14ac:dyDescent="0.3">
      <c r="B15" s="182"/>
      <c r="C15" s="229" t="s">
        <v>104</v>
      </c>
      <c r="D15" s="392">
        <f>MIN(Комбо2!B25,D7)</f>
        <v>12000000</v>
      </c>
      <c r="E15" s="393"/>
      <c r="F15" s="190"/>
      <c r="G15" s="190"/>
      <c r="H15" s="190"/>
      <c r="I15" s="190"/>
      <c r="J15" s="185"/>
    </row>
    <row r="16" spans="2:10" ht="16.5" x14ac:dyDescent="0.3">
      <c r="B16" s="182"/>
      <c r="C16" s="229" t="s">
        <v>105</v>
      </c>
      <c r="D16" s="392">
        <f>D7-D15</f>
        <v>8000000</v>
      </c>
      <c r="E16" s="393"/>
      <c r="F16" s="265" t="str">
        <f>IF(D16&lt;500000,"По условиям программы сумма не может быть меньше 500 тыс.руб.","")</f>
        <v/>
      </c>
      <c r="G16" s="190"/>
      <c r="H16" s="190"/>
      <c r="I16" s="190"/>
      <c r="J16" s="185"/>
    </row>
    <row r="17" spans="2:10" ht="16.5" x14ac:dyDescent="0.3">
      <c r="B17" s="182"/>
      <c r="C17" s="229" t="s">
        <v>107</v>
      </c>
      <c r="D17" s="385">
        <f>Комбо2!E26</f>
        <v>0.06</v>
      </c>
      <c r="E17" s="386"/>
      <c r="F17" s="190"/>
      <c r="G17" s="190"/>
      <c r="H17" s="190"/>
      <c r="I17" s="190"/>
      <c r="J17" s="185"/>
    </row>
    <row r="18" spans="2:10" ht="16.5" x14ac:dyDescent="0.3">
      <c r="B18" s="182"/>
      <c r="C18" s="229" t="s">
        <v>106</v>
      </c>
      <c r="D18" s="385">
        <f>Комбо2!E27</f>
        <v>0.188</v>
      </c>
      <c r="E18" s="386"/>
      <c r="F18" s="190"/>
      <c r="G18" s="190"/>
      <c r="H18" s="190"/>
      <c r="I18" s="190"/>
      <c r="J18" s="185"/>
    </row>
    <row r="19" spans="2:10" ht="16.5" x14ac:dyDescent="0.3">
      <c r="B19" s="182"/>
      <c r="C19" s="229" t="s">
        <v>108</v>
      </c>
      <c r="D19" s="385">
        <f>IFERROR(SUMPRODUCT(D17:E18,D15:E16)/D7,0)</f>
        <v>0.11119999999999999</v>
      </c>
      <c r="E19" s="386"/>
      <c r="F19" s="227"/>
      <c r="G19" s="204"/>
      <c r="H19" s="201" t="s">
        <v>9</v>
      </c>
      <c r="I19" s="190"/>
      <c r="J19" s="185"/>
    </row>
    <row r="20" spans="2:10" ht="16.5" x14ac:dyDescent="0.3">
      <c r="B20" s="182"/>
      <c r="C20" s="224"/>
      <c r="D20" s="228"/>
      <c r="E20" s="228"/>
      <c r="F20" s="227"/>
      <c r="G20" s="190"/>
      <c r="H20" s="190"/>
      <c r="I20" s="190"/>
      <c r="J20" s="185"/>
    </row>
    <row r="21" spans="2:10" ht="27" hidden="1" customHeight="1" x14ac:dyDescent="0.25">
      <c r="B21" s="382" t="s">
        <v>127</v>
      </c>
      <c r="C21" s="383"/>
      <c r="D21" s="383"/>
      <c r="E21" s="383"/>
      <c r="F21" s="383"/>
      <c r="G21" s="383"/>
      <c r="H21" s="383"/>
      <c r="I21" s="383"/>
      <c r="J21" s="384"/>
    </row>
    <row r="22" spans="2:10" ht="15.75" thickBot="1" x14ac:dyDescent="0.3">
      <c r="B22" s="72"/>
      <c r="C22" s="155"/>
      <c r="D22" s="73"/>
      <c r="E22" s="73"/>
      <c r="F22" s="73"/>
      <c r="G22" s="73"/>
      <c r="H22" s="73"/>
      <c r="I22" s="73"/>
      <c r="J22" s="74"/>
    </row>
    <row r="23" spans="2:10" x14ac:dyDescent="0.25">
      <c r="B23" s="236"/>
      <c r="C23" s="237"/>
      <c r="D23" s="237"/>
      <c r="E23" s="237"/>
      <c r="F23" s="237"/>
      <c r="G23" s="237"/>
      <c r="H23" s="237"/>
      <c r="I23" s="237"/>
      <c r="J23" s="238"/>
    </row>
    <row r="24" spans="2:10" ht="18.75" x14ac:dyDescent="0.3">
      <c r="B24" s="239"/>
      <c r="C24" s="240" t="s">
        <v>130</v>
      </c>
      <c r="D24" s="251" t="s">
        <v>131</v>
      </c>
      <c r="E24" s="251" t="s">
        <v>132</v>
      </c>
      <c r="F24" s="251" t="s">
        <v>133</v>
      </c>
      <c r="G24" s="251" t="s">
        <v>136</v>
      </c>
      <c r="H24" s="251" t="s">
        <v>139</v>
      </c>
      <c r="I24" s="24"/>
      <c r="J24" s="241"/>
    </row>
    <row r="25" spans="2:10" x14ac:dyDescent="0.25">
      <c r="B25" s="242"/>
      <c r="C25" s="24"/>
      <c r="D25" s="252"/>
      <c r="E25" s="252" t="s">
        <v>143</v>
      </c>
      <c r="F25" s="252" t="s">
        <v>134</v>
      </c>
      <c r="G25" s="252" t="s">
        <v>137</v>
      </c>
      <c r="H25" s="252" t="s">
        <v>140</v>
      </c>
      <c r="I25" s="24"/>
      <c r="J25" s="241"/>
    </row>
    <row r="26" spans="2:10" x14ac:dyDescent="0.25">
      <c r="B26" s="242"/>
      <c r="C26" s="24"/>
      <c r="D26" s="253"/>
      <c r="E26" s="253" t="s">
        <v>142</v>
      </c>
      <c r="F26" s="253" t="s">
        <v>135</v>
      </c>
      <c r="G26" s="253" t="s">
        <v>138</v>
      </c>
      <c r="H26" s="253" t="s">
        <v>141</v>
      </c>
      <c r="I26" s="24"/>
      <c r="J26" s="241"/>
    </row>
    <row r="27" spans="2:10" x14ac:dyDescent="0.25">
      <c r="B27" s="242"/>
      <c r="C27" s="24"/>
      <c r="D27" s="24"/>
      <c r="E27" s="244">
        <f>D7</f>
        <v>20000000</v>
      </c>
      <c r="F27" s="244"/>
      <c r="G27" s="244"/>
      <c r="H27" s="243"/>
      <c r="I27" s="24"/>
      <c r="J27" s="241"/>
    </row>
    <row r="28" spans="2:10" x14ac:dyDescent="0.25">
      <c r="B28" s="242"/>
      <c r="C28" s="24"/>
      <c r="D28" s="24">
        <f>D27+1</f>
        <v>1</v>
      </c>
      <c r="E28" s="244">
        <f>MAX(E27-G28,0)</f>
        <v>19977259.836434379</v>
      </c>
      <c r="F28" s="244">
        <f>MAX(E27*$D$19/12,0)</f>
        <v>185333.33333333334</v>
      </c>
      <c r="G28" s="244">
        <f>H28-F28</f>
        <v>22740.163565621333</v>
      </c>
      <c r="H28" s="243">
        <f>IF(D28&gt;$D$8,0,E27*($D$19/12/(1-(1+$D$19/12)^(-($D$8-D27)))))</f>
        <v>208073.49689895468</v>
      </c>
      <c r="I28" s="245"/>
      <c r="J28" s="241"/>
    </row>
    <row r="29" spans="2:10" x14ac:dyDescent="0.25">
      <c r="B29" s="242"/>
      <c r="C29" s="24"/>
      <c r="D29" s="24">
        <f t="shared" ref="D29:D46" si="0">D28+1</f>
        <v>2</v>
      </c>
      <c r="E29" s="244">
        <f t="shared" ref="E29:E92" si="1">MAX(E28-G29,0)</f>
        <v>19954308.94735305</v>
      </c>
      <c r="F29" s="244">
        <f t="shared" ref="F29:F92" si="2">MAX(E28*$D$19/12,0)</f>
        <v>185122.60781762525</v>
      </c>
      <c r="G29" s="244">
        <f t="shared" ref="G29:G92" si="3">H29-F29</f>
        <v>22950.889081329398</v>
      </c>
      <c r="H29" s="243">
        <f t="shared" ref="H29:H34" si="4">IF(D29&gt;$D$8,0,E28*($D$19/12/(1-(1+$D$19/12)^(-($D$8-D28)))))</f>
        <v>208073.49689895465</v>
      </c>
      <c r="I29" s="24"/>
      <c r="J29" s="241"/>
    </row>
    <row r="30" spans="2:10" x14ac:dyDescent="0.25">
      <c r="B30" s="242"/>
      <c r="C30" s="24"/>
      <c r="D30" s="24">
        <f t="shared" si="0"/>
        <v>3</v>
      </c>
      <c r="E30" s="244">
        <f t="shared" si="1"/>
        <v>19931145.380032901</v>
      </c>
      <c r="F30" s="244">
        <f t="shared" si="2"/>
        <v>184909.92957880491</v>
      </c>
      <c r="G30" s="244">
        <f t="shared" si="3"/>
        <v>23163.567320149741</v>
      </c>
      <c r="H30" s="243">
        <f t="shared" si="4"/>
        <v>208073.49689895465</v>
      </c>
      <c r="I30" s="24"/>
      <c r="J30" s="241"/>
    </row>
    <row r="31" spans="2:10" x14ac:dyDescent="0.25">
      <c r="B31" s="242"/>
      <c r="C31" s="24"/>
      <c r="D31" s="24">
        <f t="shared" si="0"/>
        <v>4</v>
      </c>
      <c r="E31" s="244">
        <f t="shared" si="1"/>
        <v>19907767.163655583</v>
      </c>
      <c r="F31" s="244">
        <f t="shared" si="2"/>
        <v>184695.2805216382</v>
      </c>
      <c r="G31" s="244">
        <f t="shared" si="3"/>
        <v>23378.216377316479</v>
      </c>
      <c r="H31" s="243">
        <f t="shared" si="4"/>
        <v>208073.49689895468</v>
      </c>
      <c r="I31" s="24"/>
      <c r="J31" s="241"/>
    </row>
    <row r="32" spans="2:10" x14ac:dyDescent="0.25">
      <c r="B32" s="242"/>
      <c r="C32" s="24"/>
      <c r="D32" s="24">
        <f t="shared" si="0"/>
        <v>5</v>
      </c>
      <c r="E32" s="244">
        <f t="shared" si="1"/>
        <v>19884172.309139837</v>
      </c>
      <c r="F32" s="244">
        <f t="shared" si="2"/>
        <v>184478.64238320838</v>
      </c>
      <c r="G32" s="244">
        <f t="shared" si="3"/>
        <v>23594.854515746294</v>
      </c>
      <c r="H32" s="243">
        <f t="shared" si="4"/>
        <v>208073.49689895468</v>
      </c>
      <c r="I32" s="24"/>
      <c r="J32" s="241"/>
    </row>
    <row r="33" spans="2:10" x14ac:dyDescent="0.25">
      <c r="B33" s="242"/>
      <c r="C33" s="24"/>
      <c r="D33" s="24">
        <f t="shared" si="0"/>
        <v>6</v>
      </c>
      <c r="E33" s="244">
        <f t="shared" si="1"/>
        <v>19860358.808972243</v>
      </c>
      <c r="F33" s="244">
        <f t="shared" si="2"/>
        <v>184259.99673136245</v>
      </c>
      <c r="G33" s="244">
        <f t="shared" si="3"/>
        <v>23813.500167592196</v>
      </c>
      <c r="H33" s="243">
        <f t="shared" si="4"/>
        <v>208073.49689895465</v>
      </c>
      <c r="I33" s="24"/>
      <c r="J33" s="241"/>
    </row>
    <row r="34" spans="2:10" x14ac:dyDescent="0.25">
      <c r="B34" s="242"/>
      <c r="C34" s="24"/>
      <c r="D34" s="24">
        <f t="shared" si="0"/>
        <v>7</v>
      </c>
      <c r="E34" s="244">
        <f t="shared" si="1"/>
        <v>19836324.637036432</v>
      </c>
      <c r="F34" s="244">
        <f t="shared" si="2"/>
        <v>184039.32496314278</v>
      </c>
      <c r="G34" s="244">
        <f t="shared" si="3"/>
        <v>24034.171935811901</v>
      </c>
      <c r="H34" s="243">
        <f t="shared" si="4"/>
        <v>208073.49689895468</v>
      </c>
      <c r="I34" s="24"/>
      <c r="J34" s="241"/>
    </row>
    <row r="35" spans="2:10" x14ac:dyDescent="0.25">
      <c r="B35" s="242"/>
      <c r="C35" s="24"/>
      <c r="D35" s="24">
        <f t="shared" si="0"/>
        <v>8</v>
      </c>
      <c r="E35" s="244">
        <f t="shared" si="1"/>
        <v>19812067.748440683</v>
      </c>
      <c r="F35" s="244">
        <f t="shared" si="2"/>
        <v>183816.60830320427</v>
      </c>
      <c r="G35" s="244">
        <f t="shared" si="3"/>
        <v>24256.88859575041</v>
      </c>
      <c r="H35" s="243">
        <f t="shared" ref="H35:H46" si="5">IF(D35&gt;$D$8,0,E34*($D$19/12/(1-(1+$D$19/12)^(-($D$8-D34)))))</f>
        <v>208073.49689895468</v>
      </c>
      <c r="I35" s="24"/>
      <c r="J35" s="241"/>
    </row>
    <row r="36" spans="2:10" x14ac:dyDescent="0.25">
      <c r="B36" s="242"/>
      <c r="C36" s="24"/>
      <c r="D36" s="24">
        <f t="shared" si="0"/>
        <v>9</v>
      </c>
      <c r="E36" s="244">
        <f t="shared" si="1"/>
        <v>19787586.079343945</v>
      </c>
      <c r="F36" s="244">
        <f t="shared" si="2"/>
        <v>183591.82780221698</v>
      </c>
      <c r="G36" s="244">
        <f t="shared" si="3"/>
        <v>24481.669096737693</v>
      </c>
      <c r="H36" s="243">
        <f t="shared" si="5"/>
        <v>208073.49689895468</v>
      </c>
      <c r="I36" s="24"/>
      <c r="J36" s="241"/>
    </row>
    <row r="37" spans="2:10" x14ac:dyDescent="0.25">
      <c r="B37" s="242"/>
      <c r="C37" s="24"/>
      <c r="D37" s="24">
        <f t="shared" si="0"/>
        <v>10</v>
      </c>
      <c r="E37" s="244">
        <f t="shared" si="1"/>
        <v>19762877.546780244</v>
      </c>
      <c r="F37" s="244">
        <f t="shared" si="2"/>
        <v>183364.9643352539</v>
      </c>
      <c r="G37" s="244">
        <f t="shared" si="3"/>
        <v>24708.532563700777</v>
      </c>
      <c r="H37" s="243">
        <f t="shared" si="5"/>
        <v>208073.49689895468</v>
      </c>
      <c r="I37" s="24"/>
      <c r="J37" s="241"/>
    </row>
    <row r="38" spans="2:10" x14ac:dyDescent="0.25">
      <c r="B38" s="242"/>
      <c r="C38" s="24"/>
      <c r="D38" s="24">
        <f t="shared" si="0"/>
        <v>11</v>
      </c>
      <c r="E38" s="244">
        <f t="shared" si="1"/>
        <v>19737940.048481453</v>
      </c>
      <c r="F38" s="244">
        <f t="shared" si="2"/>
        <v>183135.99860016358</v>
      </c>
      <c r="G38" s="244">
        <f t="shared" si="3"/>
        <v>24937.498298791092</v>
      </c>
      <c r="H38" s="243">
        <f t="shared" si="5"/>
        <v>208073.49689895468</v>
      </c>
      <c r="I38" s="24"/>
      <c r="J38" s="241"/>
    </row>
    <row r="39" spans="2:10" x14ac:dyDescent="0.25">
      <c r="B39" s="242"/>
      <c r="C39" s="24"/>
      <c r="D39" s="24">
        <f t="shared" si="0"/>
        <v>12</v>
      </c>
      <c r="E39" s="244">
        <f t="shared" si="1"/>
        <v>19712771.462698426</v>
      </c>
      <c r="F39" s="244">
        <f t="shared" si="2"/>
        <v>182904.91111592812</v>
      </c>
      <c r="G39" s="244">
        <f t="shared" si="3"/>
        <v>25168.585783026589</v>
      </c>
      <c r="H39" s="243">
        <f t="shared" si="5"/>
        <v>208073.49689895471</v>
      </c>
      <c r="I39" s="24"/>
      <c r="J39" s="241"/>
    </row>
    <row r="40" spans="2:10" x14ac:dyDescent="0.25">
      <c r="B40" s="242"/>
      <c r="C40" s="24"/>
      <c r="D40" s="24">
        <f t="shared" si="0"/>
        <v>13</v>
      </c>
      <c r="E40" s="244">
        <f t="shared" si="1"/>
        <v>19687369.648020476</v>
      </c>
      <c r="F40" s="244">
        <f t="shared" si="2"/>
        <v>182671.68222100541</v>
      </c>
      <c r="G40" s="244">
        <f t="shared" si="3"/>
        <v>25401.814677949296</v>
      </c>
      <c r="H40" s="243">
        <f t="shared" si="5"/>
        <v>208073.49689895471</v>
      </c>
      <c r="I40" s="24"/>
      <c r="J40" s="241"/>
    </row>
    <row r="41" spans="2:10" x14ac:dyDescent="0.25">
      <c r="B41" s="242"/>
      <c r="C41" s="24"/>
      <c r="D41" s="24">
        <f t="shared" si="0"/>
        <v>14</v>
      </c>
      <c r="E41" s="244">
        <f t="shared" si="1"/>
        <v>19661732.443193179</v>
      </c>
      <c r="F41" s="244">
        <f t="shared" si="2"/>
        <v>182436.29207165641</v>
      </c>
      <c r="G41" s="244">
        <f t="shared" si="3"/>
        <v>25637.204827298265</v>
      </c>
      <c r="H41" s="243">
        <f t="shared" si="5"/>
        <v>208073.49689895468</v>
      </c>
      <c r="I41" s="24"/>
      <c r="J41" s="241"/>
    </row>
    <row r="42" spans="2:10" x14ac:dyDescent="0.25">
      <c r="B42" s="242"/>
      <c r="C42" s="24"/>
      <c r="D42" s="24">
        <f t="shared" si="0"/>
        <v>15</v>
      </c>
      <c r="E42" s="244">
        <f t="shared" si="1"/>
        <v>19635857.666934479</v>
      </c>
      <c r="F42" s="244">
        <f t="shared" si="2"/>
        <v>182198.72064025677</v>
      </c>
      <c r="G42" s="244">
        <f t="shared" si="3"/>
        <v>25874.776258697908</v>
      </c>
      <c r="H42" s="243">
        <f t="shared" si="5"/>
        <v>208073.49689895468</v>
      </c>
      <c r="I42" s="24"/>
      <c r="J42" s="241"/>
    </row>
    <row r="43" spans="2:10" x14ac:dyDescent="0.25">
      <c r="B43" s="242"/>
      <c r="C43" s="24"/>
      <c r="D43" s="24">
        <f t="shared" si="0"/>
        <v>16</v>
      </c>
      <c r="E43" s="244">
        <f t="shared" si="1"/>
        <v>19609743.117749117</v>
      </c>
      <c r="F43" s="244">
        <f t="shared" si="2"/>
        <v>181958.94771359282</v>
      </c>
      <c r="G43" s="244">
        <f t="shared" si="3"/>
        <v>26114.549185361859</v>
      </c>
      <c r="H43" s="243">
        <f t="shared" si="5"/>
        <v>208073.49689895468</v>
      </c>
      <c r="I43" s="24"/>
      <c r="J43" s="241"/>
    </row>
    <row r="44" spans="2:10" x14ac:dyDescent="0.25">
      <c r="B44" s="242"/>
      <c r="C44" s="24"/>
      <c r="D44" s="24">
        <f t="shared" si="0"/>
        <v>17</v>
      </c>
      <c r="E44" s="244">
        <f t="shared" si="1"/>
        <v>19583386.573741306</v>
      </c>
      <c r="F44" s="244">
        <f t="shared" si="2"/>
        <v>181716.95289114179</v>
      </c>
      <c r="G44" s="244">
        <f t="shared" si="3"/>
        <v>26356.544007812889</v>
      </c>
      <c r="H44" s="243">
        <f t="shared" si="5"/>
        <v>208073.49689895468</v>
      </c>
      <c r="I44" s="24"/>
      <c r="J44" s="241"/>
    </row>
    <row r="45" spans="2:10" x14ac:dyDescent="0.25">
      <c r="B45" s="242"/>
      <c r="C45" s="24"/>
      <c r="D45" s="24">
        <f t="shared" si="0"/>
        <v>18</v>
      </c>
      <c r="E45" s="244">
        <f t="shared" si="1"/>
        <v>19556785.792425688</v>
      </c>
      <c r="F45" s="244">
        <f t="shared" si="2"/>
        <v>181472.71558333607</v>
      </c>
      <c r="G45" s="244">
        <f t="shared" si="3"/>
        <v>26600.781315618631</v>
      </c>
      <c r="H45" s="243">
        <f t="shared" si="5"/>
        <v>208073.49689895471</v>
      </c>
      <c r="I45" s="24"/>
      <c r="J45" s="241"/>
    </row>
    <row r="46" spans="2:10" x14ac:dyDescent="0.25">
      <c r="B46" s="242"/>
      <c r="C46" s="24"/>
      <c r="D46" s="24">
        <f t="shared" si="0"/>
        <v>19</v>
      </c>
      <c r="E46" s="244">
        <f t="shared" si="1"/>
        <v>19529938.510536544</v>
      </c>
      <c r="F46" s="244">
        <f t="shared" si="2"/>
        <v>181226.21500981136</v>
      </c>
      <c r="G46" s="244">
        <f t="shared" si="3"/>
        <v>26847.281889143371</v>
      </c>
      <c r="H46" s="243">
        <f t="shared" si="5"/>
        <v>208073.49689895473</v>
      </c>
      <c r="I46" s="24"/>
      <c r="J46" s="241"/>
    </row>
    <row r="47" spans="2:10" x14ac:dyDescent="0.25">
      <c r="B47" s="242"/>
      <c r="C47" s="24"/>
      <c r="D47" s="24">
        <f t="shared" ref="D47:D110" si="6">D46+1</f>
        <v>20</v>
      </c>
      <c r="E47" s="244">
        <f t="shared" si="1"/>
        <v>19502842.443835229</v>
      </c>
      <c r="F47" s="244">
        <f t="shared" si="2"/>
        <v>180977.43019763861</v>
      </c>
      <c r="G47" s="244">
        <f t="shared" si="3"/>
        <v>27096.0667013161</v>
      </c>
      <c r="H47" s="243">
        <f t="shared" ref="H47:H110" si="7">IF(D47&gt;$D$8,0,E46*($D$19/12/(1-(1+$D$19/12)^(-($D$8-D46)))))</f>
        <v>208073.49689895471</v>
      </c>
      <c r="I47" s="24"/>
      <c r="J47" s="241"/>
    </row>
    <row r="48" spans="2:10" x14ac:dyDescent="0.25">
      <c r="B48" s="242"/>
      <c r="C48" s="24"/>
      <c r="D48" s="24">
        <f t="shared" si="6"/>
        <v>21</v>
      </c>
      <c r="E48" s="244">
        <f t="shared" si="1"/>
        <v>19475495.286915813</v>
      </c>
      <c r="F48" s="244">
        <f t="shared" si="2"/>
        <v>180726.33997953977</v>
      </c>
      <c r="G48" s="244">
        <f t="shared" si="3"/>
        <v>27347.156919414963</v>
      </c>
      <c r="H48" s="243">
        <f t="shared" si="7"/>
        <v>208073.49689895473</v>
      </c>
      <c r="I48" s="24"/>
      <c r="J48" s="241"/>
    </row>
    <row r="49" spans="2:10" x14ac:dyDescent="0.25">
      <c r="B49" s="242"/>
      <c r="C49" s="24"/>
      <c r="D49" s="24">
        <f t="shared" si="6"/>
        <v>22</v>
      </c>
      <c r="E49" s="244">
        <f t="shared" si="1"/>
        <v>19447894.713008944</v>
      </c>
      <c r="F49" s="244">
        <f t="shared" si="2"/>
        <v>180472.9229920865</v>
      </c>
      <c r="G49" s="244">
        <f t="shared" si="3"/>
        <v>27600.573906868231</v>
      </c>
      <c r="H49" s="243">
        <f t="shared" si="7"/>
        <v>208073.49689895473</v>
      </c>
      <c r="I49" s="24"/>
      <c r="J49" s="241"/>
    </row>
    <row r="50" spans="2:10" x14ac:dyDescent="0.25">
      <c r="B50" s="242"/>
      <c r="C50" s="24"/>
      <c r="D50" s="24">
        <f t="shared" si="6"/>
        <v>23</v>
      </c>
      <c r="E50" s="244">
        <f t="shared" si="1"/>
        <v>19420038.373783872</v>
      </c>
      <c r="F50" s="244">
        <f t="shared" si="2"/>
        <v>180217.15767388287</v>
      </c>
      <c r="G50" s="244">
        <f t="shared" si="3"/>
        <v>27856.339225071861</v>
      </c>
      <c r="H50" s="243">
        <f t="shared" si="7"/>
        <v>208073.49689895473</v>
      </c>
      <c r="I50" s="24"/>
      <c r="J50" s="241"/>
    </row>
    <row r="51" spans="2:10" x14ac:dyDescent="0.25">
      <c r="B51" s="242"/>
      <c r="C51" s="24"/>
      <c r="D51" s="24">
        <f t="shared" si="6"/>
        <v>24</v>
      </c>
      <c r="E51" s="244">
        <f t="shared" si="1"/>
        <v>19391923.899148647</v>
      </c>
      <c r="F51" s="244">
        <f t="shared" si="2"/>
        <v>179959.02226373053</v>
      </c>
      <c r="G51" s="244">
        <f t="shared" si="3"/>
        <v>28114.474635224207</v>
      </c>
      <c r="H51" s="243">
        <f t="shared" si="7"/>
        <v>208073.49689895473</v>
      </c>
      <c r="I51" s="24"/>
      <c r="J51" s="241"/>
    </row>
    <row r="52" spans="2:10" x14ac:dyDescent="0.25">
      <c r="B52" s="242"/>
      <c r="C52" s="24"/>
      <c r="D52" s="24">
        <f t="shared" si="6"/>
        <v>25</v>
      </c>
      <c r="E52" s="244">
        <f t="shared" si="1"/>
        <v>19363548.89704847</v>
      </c>
      <c r="F52" s="244">
        <f t="shared" si="2"/>
        <v>179698.49479877742</v>
      </c>
      <c r="G52" s="244">
        <f t="shared" si="3"/>
        <v>28375.002100177313</v>
      </c>
      <c r="H52" s="243">
        <f t="shared" si="7"/>
        <v>208073.49689895473</v>
      </c>
      <c r="I52" s="24"/>
      <c r="J52" s="241"/>
    </row>
    <row r="53" spans="2:10" x14ac:dyDescent="0.25">
      <c r="B53" s="242"/>
      <c r="C53" s="24"/>
      <c r="D53" s="24">
        <f t="shared" si="6"/>
        <v>26</v>
      </c>
      <c r="E53" s="244">
        <f t="shared" si="1"/>
        <v>19334910.953262165</v>
      </c>
      <c r="F53" s="244">
        <f t="shared" si="2"/>
        <v>179435.55311264913</v>
      </c>
      <c r="G53" s="244">
        <f t="shared" si="3"/>
        <v>28637.943786305579</v>
      </c>
      <c r="H53" s="243">
        <f t="shared" si="7"/>
        <v>208073.49689895471</v>
      </c>
      <c r="I53" s="24"/>
      <c r="J53" s="241"/>
    </row>
    <row r="54" spans="2:10" x14ac:dyDescent="0.25">
      <c r="B54" s="242"/>
      <c r="C54" s="24"/>
      <c r="D54" s="24">
        <f t="shared" si="6"/>
        <v>27</v>
      </c>
      <c r="E54" s="244">
        <f t="shared" si="1"/>
        <v>19306007.631196775</v>
      </c>
      <c r="F54" s="244">
        <f t="shared" si="2"/>
        <v>179170.17483356272</v>
      </c>
      <c r="G54" s="244">
        <f t="shared" si="3"/>
        <v>28903.322065392014</v>
      </c>
      <c r="H54" s="243">
        <f t="shared" si="7"/>
        <v>208073.49689895473</v>
      </c>
      <c r="I54" s="24"/>
      <c r="J54" s="241"/>
    </row>
    <row r="55" spans="2:10" x14ac:dyDescent="0.25">
      <c r="B55" s="242"/>
      <c r="C55" s="24"/>
      <c r="D55" s="24">
        <f t="shared" si="6"/>
        <v>28</v>
      </c>
      <c r="E55" s="244">
        <f t="shared" si="1"/>
        <v>19276836.471680243</v>
      </c>
      <c r="F55" s="244">
        <f t="shared" si="2"/>
        <v>178902.33738242343</v>
      </c>
      <c r="G55" s="244">
        <f t="shared" si="3"/>
        <v>29171.159516531334</v>
      </c>
      <c r="H55" s="243">
        <f t="shared" si="7"/>
        <v>208073.49689895476</v>
      </c>
      <c r="I55" s="24"/>
      <c r="J55" s="241"/>
    </row>
    <row r="56" spans="2:10" x14ac:dyDescent="0.25">
      <c r="B56" s="242"/>
      <c r="C56" s="24"/>
      <c r="D56" s="24">
        <f t="shared" si="6"/>
        <v>29</v>
      </c>
      <c r="E56" s="244">
        <f t="shared" si="1"/>
        <v>19247394.992752191</v>
      </c>
      <c r="F56" s="244">
        <f t="shared" si="2"/>
        <v>178632.01797090357</v>
      </c>
      <c r="G56" s="244">
        <f t="shared" si="3"/>
        <v>29441.478928051161</v>
      </c>
      <c r="H56" s="243">
        <f t="shared" si="7"/>
        <v>208073.49689895473</v>
      </c>
      <c r="I56" s="24"/>
      <c r="J56" s="241"/>
    </row>
    <row r="57" spans="2:10" x14ac:dyDescent="0.25">
      <c r="B57" s="242"/>
      <c r="C57" s="24"/>
      <c r="D57" s="24">
        <f t="shared" si="6"/>
        <v>30</v>
      </c>
      <c r="E57" s="244">
        <f t="shared" si="1"/>
        <v>19217680.689452741</v>
      </c>
      <c r="F57" s="244">
        <f t="shared" si="2"/>
        <v>178359.1935995036</v>
      </c>
      <c r="G57" s="244">
        <f t="shared" si="3"/>
        <v>29714.30329945116</v>
      </c>
      <c r="H57" s="243">
        <f>IF(D57&gt;$D$8,0,E56*($D$19/12/(1-(1+$D$19/12)^(-($D$8-D56)))))</f>
        <v>208073.49689895476</v>
      </c>
      <c r="I57" s="24"/>
      <c r="J57" s="241"/>
    </row>
    <row r="58" spans="2:10" x14ac:dyDescent="0.25">
      <c r="B58" s="242"/>
      <c r="C58" s="24"/>
      <c r="D58" s="24">
        <f t="shared" si="6"/>
        <v>31</v>
      </c>
      <c r="E58" s="244">
        <f t="shared" si="1"/>
        <v>19187691.033609383</v>
      </c>
      <c r="F58" s="244">
        <f t="shared" si="2"/>
        <v>178083.8410555954</v>
      </c>
      <c r="G58" s="244">
        <f t="shared" si="3"/>
        <v>29989.655843359389</v>
      </c>
      <c r="H58" s="243">
        <f t="shared" si="7"/>
        <v>208073.49689895479</v>
      </c>
      <c r="I58" s="24"/>
      <c r="J58" s="241"/>
    </row>
    <row r="59" spans="2:10" x14ac:dyDescent="0.25">
      <c r="B59" s="242"/>
      <c r="C59" s="24"/>
      <c r="D59" s="24">
        <f t="shared" si="6"/>
        <v>32</v>
      </c>
      <c r="E59" s="244">
        <f t="shared" si="1"/>
        <v>19157423.473621875</v>
      </c>
      <c r="F59" s="244">
        <f t="shared" si="2"/>
        <v>177805.93691144694</v>
      </c>
      <c r="G59" s="244">
        <f t="shared" si="3"/>
        <v>30267.559987507819</v>
      </c>
      <c r="H59" s="243">
        <f t="shared" si="7"/>
        <v>208073.49689895476</v>
      </c>
      <c r="I59" s="24"/>
      <c r="J59" s="241"/>
    </row>
    <row r="60" spans="2:10" x14ac:dyDescent="0.25">
      <c r="B60" s="242"/>
      <c r="C60" s="24"/>
      <c r="D60" s="24">
        <f t="shared" si="6"/>
        <v>33</v>
      </c>
      <c r="E60" s="244">
        <f t="shared" si="1"/>
        <v>19126875.434245151</v>
      </c>
      <c r="F60" s="244">
        <f t="shared" si="2"/>
        <v>177525.45752222938</v>
      </c>
      <c r="G60" s="244">
        <f t="shared" si="3"/>
        <v>30548.039376725384</v>
      </c>
      <c r="H60" s="243">
        <f t="shared" si="7"/>
        <v>208073.49689895476</v>
      </c>
      <c r="I60" s="24"/>
      <c r="J60" s="241"/>
    </row>
    <row r="61" spans="2:10" x14ac:dyDescent="0.25">
      <c r="B61" s="242"/>
      <c r="C61" s="24"/>
      <c r="D61" s="24">
        <f t="shared" si="6"/>
        <v>34</v>
      </c>
      <c r="E61" s="244">
        <f t="shared" si="1"/>
        <v>19096044.3163702</v>
      </c>
      <c r="F61" s="244">
        <f t="shared" si="2"/>
        <v>177242.37902400506</v>
      </c>
      <c r="G61" s="244">
        <f t="shared" si="3"/>
        <v>30831.117874949734</v>
      </c>
      <c r="H61" s="243">
        <f t="shared" si="7"/>
        <v>208073.49689895479</v>
      </c>
      <c r="I61" s="24"/>
      <c r="J61" s="241"/>
    </row>
    <row r="62" spans="2:10" x14ac:dyDescent="0.25">
      <c r="B62" s="242"/>
      <c r="C62" s="24"/>
      <c r="D62" s="24">
        <f t="shared" si="6"/>
        <v>35</v>
      </c>
      <c r="E62" s="244">
        <f t="shared" si="1"/>
        <v>19064927.496802941</v>
      </c>
      <c r="F62" s="244">
        <f t="shared" si="2"/>
        <v>176956.6773316972</v>
      </c>
      <c r="G62" s="244">
        <f t="shared" si="3"/>
        <v>31116.819567257568</v>
      </c>
      <c r="H62" s="243">
        <f t="shared" si="7"/>
        <v>208073.49689895476</v>
      </c>
      <c r="I62" s="24"/>
      <c r="J62" s="241"/>
    </row>
    <row r="63" spans="2:10" x14ac:dyDescent="0.25">
      <c r="B63" s="242"/>
      <c r="C63" s="24"/>
      <c r="D63" s="24">
        <f t="shared" si="6"/>
        <v>36</v>
      </c>
      <c r="E63" s="244">
        <f t="shared" si="1"/>
        <v>19033522.328041028</v>
      </c>
      <c r="F63" s="244">
        <f t="shared" si="2"/>
        <v>176668.32813704057</v>
      </c>
      <c r="G63" s="244">
        <f t="shared" si="3"/>
        <v>31405.168761914189</v>
      </c>
      <c r="H63" s="243">
        <f t="shared" si="7"/>
        <v>208073.49689895476</v>
      </c>
      <c r="I63" s="24"/>
      <c r="J63" s="241"/>
    </row>
    <row r="64" spans="2:10" x14ac:dyDescent="0.25">
      <c r="B64" s="242"/>
      <c r="C64" s="24"/>
      <c r="D64" s="24">
        <f t="shared" si="6"/>
        <v>37</v>
      </c>
      <c r="E64" s="244">
        <f t="shared" si="1"/>
        <v>19001826.138048586</v>
      </c>
      <c r="F64" s="244">
        <f t="shared" si="2"/>
        <v>176377.30690651352</v>
      </c>
      <c r="G64" s="244">
        <f t="shared" si="3"/>
        <v>31696.189992441272</v>
      </c>
      <c r="H64" s="243">
        <f t="shared" si="7"/>
        <v>208073.49689895479</v>
      </c>
      <c r="I64" s="24"/>
      <c r="J64" s="241"/>
    </row>
    <row r="65" spans="2:10" x14ac:dyDescent="0.25">
      <c r="B65" s="242"/>
      <c r="C65" s="24"/>
      <c r="D65" s="24">
        <f t="shared" si="6"/>
        <v>38</v>
      </c>
      <c r="E65" s="244">
        <f t="shared" si="1"/>
        <v>18969836.230028883</v>
      </c>
      <c r="F65" s="244">
        <f t="shared" si="2"/>
        <v>176083.58887925022</v>
      </c>
      <c r="G65" s="244">
        <f t="shared" si="3"/>
        <v>31989.90801970454</v>
      </c>
      <c r="H65" s="243">
        <f t="shared" si="7"/>
        <v>208073.49689895476</v>
      </c>
      <c r="I65" s="24"/>
      <c r="J65" s="241"/>
    </row>
    <row r="66" spans="2:10" x14ac:dyDescent="0.25">
      <c r="B66" s="242"/>
      <c r="C66" s="24"/>
      <c r="D66" s="24">
        <f t="shared" si="6"/>
        <v>39</v>
      </c>
      <c r="E66" s="244">
        <f t="shared" si="1"/>
        <v>18937549.882194862</v>
      </c>
      <c r="F66" s="244">
        <f t="shared" si="2"/>
        <v>175787.14906493432</v>
      </c>
      <c r="G66" s="244">
        <f t="shared" si="3"/>
        <v>32286.347834020475</v>
      </c>
      <c r="H66" s="243">
        <f t="shared" si="7"/>
        <v>208073.49689895479</v>
      </c>
      <c r="I66" s="24"/>
      <c r="J66" s="241"/>
    </row>
    <row r="67" spans="2:10" x14ac:dyDescent="0.25">
      <c r="B67" s="242"/>
      <c r="C67" s="24"/>
      <c r="D67" s="24">
        <f t="shared" si="6"/>
        <v>40</v>
      </c>
      <c r="E67" s="244">
        <f t="shared" si="1"/>
        <v>18904964.347537581</v>
      </c>
      <c r="F67" s="244">
        <f t="shared" si="2"/>
        <v>175487.96224167236</v>
      </c>
      <c r="G67" s="244">
        <f t="shared" si="3"/>
        <v>32585.534657282464</v>
      </c>
      <c r="H67" s="243">
        <f t="shared" si="7"/>
        <v>208073.49689895482</v>
      </c>
      <c r="I67" s="24"/>
      <c r="J67" s="241"/>
    </row>
    <row r="68" spans="2:10" x14ac:dyDescent="0.25">
      <c r="B68" s="242"/>
      <c r="C68" s="24"/>
      <c r="D68" s="24">
        <f t="shared" si="6"/>
        <v>41</v>
      </c>
      <c r="E68" s="244">
        <f t="shared" si="1"/>
        <v>18872076.853592474</v>
      </c>
      <c r="F68" s="244">
        <f t="shared" si="2"/>
        <v>175186.00295384825</v>
      </c>
      <c r="G68" s="244">
        <f t="shared" si="3"/>
        <v>32887.493945106573</v>
      </c>
      <c r="H68" s="243">
        <f t="shared" si="7"/>
        <v>208073.49689895482</v>
      </c>
      <c r="I68" s="24"/>
      <c r="J68" s="241"/>
    </row>
    <row r="69" spans="2:10" x14ac:dyDescent="0.25">
      <c r="B69" s="242"/>
      <c r="C69" s="24"/>
      <c r="D69" s="24">
        <f t="shared" si="6"/>
        <v>42</v>
      </c>
      <c r="E69" s="244">
        <f t="shared" si="1"/>
        <v>18838884.602203477</v>
      </c>
      <c r="F69" s="244">
        <f t="shared" si="2"/>
        <v>174881.24550995693</v>
      </c>
      <c r="G69" s="244">
        <f t="shared" si="3"/>
        <v>33192.251388997916</v>
      </c>
      <c r="H69" s="243">
        <f t="shared" si="7"/>
        <v>208073.49689895485</v>
      </c>
      <c r="I69" s="24"/>
      <c r="J69" s="241"/>
    </row>
    <row r="70" spans="2:10" x14ac:dyDescent="0.25">
      <c r="B70" s="242"/>
      <c r="C70" s="24"/>
      <c r="D70" s="24">
        <f t="shared" si="6"/>
        <v>43</v>
      </c>
      <c r="E70" s="244">
        <f t="shared" si="1"/>
        <v>18805384.769284941</v>
      </c>
      <c r="F70" s="244">
        <f t="shared" si="2"/>
        <v>174573.66398041887</v>
      </c>
      <c r="G70" s="244">
        <f t="shared" si="3"/>
        <v>33499.832918536005</v>
      </c>
      <c r="H70" s="243">
        <f t="shared" si="7"/>
        <v>208073.49689895488</v>
      </c>
      <c r="I70" s="24"/>
      <c r="J70" s="241"/>
    </row>
    <row r="71" spans="2:10" x14ac:dyDescent="0.25">
      <c r="B71" s="242"/>
      <c r="C71" s="24"/>
      <c r="D71" s="24">
        <f t="shared" si="6"/>
        <v>44</v>
      </c>
      <c r="E71" s="244">
        <f t="shared" si="1"/>
        <v>18771574.504581362</v>
      </c>
      <c r="F71" s="244">
        <f t="shared" si="2"/>
        <v>174263.23219537377</v>
      </c>
      <c r="G71" s="244">
        <f t="shared" si="3"/>
        <v>33810.264703581081</v>
      </c>
      <c r="H71" s="243">
        <f t="shared" si="7"/>
        <v>208073.49689895485</v>
      </c>
      <c r="I71" s="24"/>
      <c r="J71" s="241"/>
    </row>
    <row r="72" spans="2:10" x14ac:dyDescent="0.25">
      <c r="B72" s="242"/>
      <c r="C72" s="24"/>
      <c r="D72" s="24">
        <f t="shared" si="6"/>
        <v>45</v>
      </c>
      <c r="E72" s="244">
        <f t="shared" si="1"/>
        <v>18737450.93142486</v>
      </c>
      <c r="F72" s="244">
        <f t="shared" si="2"/>
        <v>173949.92374245395</v>
      </c>
      <c r="G72" s="244">
        <f t="shared" si="3"/>
        <v>34123.573156500934</v>
      </c>
      <c r="H72" s="243">
        <f t="shared" si="7"/>
        <v>208073.49689895488</v>
      </c>
      <c r="I72" s="24"/>
      <c r="J72" s="241"/>
    </row>
    <row r="73" spans="2:10" x14ac:dyDescent="0.25">
      <c r="B73" s="242"/>
      <c r="C73" s="24"/>
      <c r="D73" s="24">
        <f t="shared" si="6"/>
        <v>46</v>
      </c>
      <c r="E73" s="244">
        <f t="shared" si="1"/>
        <v>18703011.146490443</v>
      </c>
      <c r="F73" s="244">
        <f t="shared" si="2"/>
        <v>173633.71196453701</v>
      </c>
      <c r="G73" s="244">
        <f t="shared" si="3"/>
        <v>34439.784934417868</v>
      </c>
      <c r="H73" s="243">
        <f t="shared" si="7"/>
        <v>208073.49689895488</v>
      </c>
      <c r="I73" s="24"/>
      <c r="J73" s="241"/>
    </row>
    <row r="74" spans="2:10" x14ac:dyDescent="0.25">
      <c r="B74" s="242"/>
      <c r="C74" s="24"/>
      <c r="D74" s="24">
        <f t="shared" si="6"/>
        <v>47</v>
      </c>
      <c r="E74" s="244">
        <f t="shared" si="1"/>
        <v>18668252.219548967</v>
      </c>
      <c r="F74" s="244">
        <f t="shared" si="2"/>
        <v>173314.56995747812</v>
      </c>
      <c r="G74" s="244">
        <f t="shared" si="3"/>
        <v>34758.926941476762</v>
      </c>
      <c r="H74" s="243">
        <f t="shared" si="7"/>
        <v>208073.49689895488</v>
      </c>
      <c r="I74" s="24"/>
      <c r="J74" s="241"/>
    </row>
    <row r="75" spans="2:10" x14ac:dyDescent="0.25">
      <c r="B75" s="242"/>
      <c r="C75" s="24"/>
      <c r="D75" s="24">
        <f t="shared" si="6"/>
        <v>48</v>
      </c>
      <c r="E75" s="244">
        <f t="shared" si="1"/>
        <v>18633171.193217833</v>
      </c>
      <c r="F75" s="244">
        <f t="shared" si="2"/>
        <v>172992.47056782042</v>
      </c>
      <c r="G75" s="244">
        <f t="shared" si="3"/>
        <v>35081.02633113449</v>
      </c>
      <c r="H75" s="243">
        <f t="shared" si="7"/>
        <v>208073.49689895491</v>
      </c>
      <c r="I75" s="24"/>
      <c r="J75" s="241"/>
    </row>
    <row r="76" spans="2:10" x14ac:dyDescent="0.25">
      <c r="B76" s="242"/>
      <c r="C76" s="24"/>
      <c r="D76" s="24">
        <f t="shared" si="6"/>
        <v>49</v>
      </c>
      <c r="E76" s="244">
        <f t="shared" si="1"/>
        <v>18597765.082709365</v>
      </c>
      <c r="F76" s="244">
        <f t="shared" si="2"/>
        <v>172667.38639048525</v>
      </c>
      <c r="G76" s="244">
        <f t="shared" si="3"/>
        <v>35406.110508469661</v>
      </c>
      <c r="H76" s="243">
        <f t="shared" si="7"/>
        <v>208073.49689895491</v>
      </c>
      <c r="I76" s="24"/>
      <c r="J76" s="241"/>
    </row>
    <row r="77" spans="2:10" x14ac:dyDescent="0.25">
      <c r="B77" s="242"/>
      <c r="C77" s="24"/>
      <c r="D77" s="24">
        <f t="shared" si="6"/>
        <v>50</v>
      </c>
      <c r="E77" s="244">
        <f t="shared" si="1"/>
        <v>18562030.87557685</v>
      </c>
      <c r="F77" s="244">
        <f t="shared" si="2"/>
        <v>172339.28976644011</v>
      </c>
      <c r="G77" s="244">
        <f t="shared" si="3"/>
        <v>35734.207132514828</v>
      </c>
      <c r="H77" s="243">
        <f t="shared" si="7"/>
        <v>208073.49689895494</v>
      </c>
      <c r="I77" s="24"/>
      <c r="J77" s="241"/>
    </row>
    <row r="78" spans="2:10" x14ac:dyDescent="0.25">
      <c r="B78" s="242"/>
      <c r="C78" s="24"/>
      <c r="D78" s="24">
        <f t="shared" si="6"/>
        <v>51</v>
      </c>
      <c r="E78" s="244">
        <f t="shared" si="1"/>
        <v>18525965.53145824</v>
      </c>
      <c r="F78" s="244">
        <f t="shared" si="2"/>
        <v>172008.15278034547</v>
      </c>
      <c r="G78" s="244">
        <f t="shared" si="3"/>
        <v>36065.344118609471</v>
      </c>
      <c r="H78" s="243">
        <f t="shared" si="7"/>
        <v>208073.49689895494</v>
      </c>
      <c r="I78" s="24"/>
      <c r="J78" s="241"/>
    </row>
    <row r="79" spans="2:10" x14ac:dyDescent="0.25">
      <c r="B79" s="242"/>
      <c r="C79" s="24"/>
      <c r="D79" s="24">
        <f t="shared" si="6"/>
        <v>52</v>
      </c>
      <c r="E79" s="244">
        <f t="shared" si="1"/>
        <v>18489565.981817465</v>
      </c>
      <c r="F79" s="244">
        <f t="shared" si="2"/>
        <v>171673.94725817969</v>
      </c>
      <c r="G79" s="244">
        <f t="shared" si="3"/>
        <v>36399.549640775251</v>
      </c>
      <c r="H79" s="243">
        <f t="shared" si="7"/>
        <v>208073.49689895494</v>
      </c>
      <c r="I79" s="24"/>
      <c r="J79" s="241"/>
    </row>
    <row r="80" spans="2:10" x14ac:dyDescent="0.25">
      <c r="B80" s="242"/>
      <c r="C80" s="24"/>
      <c r="D80" s="24">
        <f t="shared" si="6"/>
        <v>53</v>
      </c>
      <c r="E80" s="244">
        <f t="shared" si="1"/>
        <v>18452829.129683353</v>
      </c>
      <c r="F80" s="244">
        <f t="shared" si="2"/>
        <v>171336.64476484183</v>
      </c>
      <c r="G80" s="244">
        <f t="shared" si="3"/>
        <v>36736.852134113142</v>
      </c>
      <c r="H80" s="243">
        <f t="shared" si="7"/>
        <v>208073.49689895497</v>
      </c>
      <c r="I80" s="24"/>
      <c r="J80" s="241"/>
    </row>
    <row r="81" spans="2:10" x14ac:dyDescent="0.25">
      <c r="B81" s="242"/>
      <c r="C81" s="24"/>
      <c r="D81" s="24">
        <f t="shared" si="6"/>
        <v>54</v>
      </c>
      <c r="E81" s="244">
        <f t="shared" si="1"/>
        <v>18415751.84938613</v>
      </c>
      <c r="F81" s="244">
        <f t="shared" si="2"/>
        <v>170996.21660173239</v>
      </c>
      <c r="G81" s="244">
        <f t="shared" si="3"/>
        <v>37077.280297222576</v>
      </c>
      <c r="H81" s="243">
        <f t="shared" si="7"/>
        <v>208073.49689895497</v>
      </c>
      <c r="I81" s="24"/>
      <c r="J81" s="241"/>
    </row>
    <row r="82" spans="2:10" x14ac:dyDescent="0.25">
      <c r="B82" s="242"/>
      <c r="C82" s="24"/>
      <c r="D82" s="24">
        <f t="shared" si="6"/>
        <v>55</v>
      </c>
      <c r="E82" s="244">
        <f t="shared" si="1"/>
        <v>18378330.986291487</v>
      </c>
      <c r="F82" s="244">
        <f t="shared" si="2"/>
        <v>170652.63380431145</v>
      </c>
      <c r="G82" s="244">
        <f t="shared" si="3"/>
        <v>37420.863094643515</v>
      </c>
      <c r="H82" s="243">
        <f t="shared" si="7"/>
        <v>208073.49689895497</v>
      </c>
      <c r="I82" s="24"/>
      <c r="J82" s="241"/>
    </row>
    <row r="83" spans="2:10" x14ac:dyDescent="0.25">
      <c r="B83" s="242"/>
      <c r="C83" s="24"/>
      <c r="D83" s="24">
        <f t="shared" si="6"/>
        <v>56</v>
      </c>
      <c r="E83" s="244">
        <f t="shared" si="1"/>
        <v>18340563.356532168</v>
      </c>
      <c r="F83" s="244">
        <f t="shared" si="2"/>
        <v>170305.86713963444</v>
      </c>
      <c r="G83" s="244">
        <f t="shared" si="3"/>
        <v>37767.629759320494</v>
      </c>
      <c r="H83" s="243">
        <f t="shared" si="7"/>
        <v>208073.49689895494</v>
      </c>
      <c r="I83" s="24"/>
      <c r="J83" s="241"/>
    </row>
    <row r="84" spans="2:10" x14ac:dyDescent="0.25">
      <c r="B84" s="242"/>
      <c r="C84" s="24"/>
      <c r="D84" s="24">
        <f t="shared" si="6"/>
        <v>57</v>
      </c>
      <c r="E84" s="244">
        <f t="shared" si="1"/>
        <v>18302445.746737078</v>
      </c>
      <c r="F84" s="244">
        <f t="shared" si="2"/>
        <v>169955.88710386475</v>
      </c>
      <c r="G84" s="244">
        <f t="shared" si="3"/>
        <v>38117.609795090248</v>
      </c>
      <c r="H84" s="243">
        <f t="shared" si="7"/>
        <v>208073.496898955</v>
      </c>
      <c r="I84" s="24"/>
      <c r="J84" s="241"/>
    </row>
    <row r="85" spans="2:10" x14ac:dyDescent="0.25">
      <c r="B85" s="242"/>
      <c r="C85" s="24"/>
      <c r="D85" s="24">
        <f t="shared" si="6"/>
        <v>58</v>
      </c>
      <c r="E85" s="244">
        <f t="shared" si="1"/>
        <v>18263974.913757887</v>
      </c>
      <c r="F85" s="244">
        <f t="shared" si="2"/>
        <v>169602.66391976358</v>
      </c>
      <c r="G85" s="244">
        <f t="shared" si="3"/>
        <v>38470.832979191415</v>
      </c>
      <c r="H85" s="243">
        <f t="shared" si="7"/>
        <v>208073.496898955</v>
      </c>
      <c r="I85" s="24"/>
      <c r="J85" s="241"/>
    </row>
    <row r="86" spans="2:10" x14ac:dyDescent="0.25">
      <c r="B86" s="242"/>
      <c r="C86" s="24"/>
      <c r="D86" s="24">
        <f t="shared" si="6"/>
        <v>59</v>
      </c>
      <c r="E86" s="244">
        <f t="shared" si="1"/>
        <v>18225147.584393088</v>
      </c>
      <c r="F86" s="244">
        <f t="shared" si="2"/>
        <v>169246.16753415641</v>
      </c>
      <c r="G86" s="244">
        <f t="shared" si="3"/>
        <v>38827.329364798614</v>
      </c>
      <c r="H86" s="243">
        <f t="shared" si="7"/>
        <v>208073.49689895503</v>
      </c>
      <c r="I86" s="24"/>
      <c r="J86" s="241"/>
    </row>
    <row r="87" spans="2:10" x14ac:dyDescent="0.25">
      <c r="B87" s="242"/>
      <c r="C87" s="24"/>
      <c r="D87" s="24">
        <f t="shared" si="6"/>
        <v>60</v>
      </c>
      <c r="E87" s="244">
        <f t="shared" si="1"/>
        <v>18185960.455109507</v>
      </c>
      <c r="F87" s="244">
        <f t="shared" si="2"/>
        <v>168886.36761537593</v>
      </c>
      <c r="G87" s="244">
        <f t="shared" si="3"/>
        <v>39187.129283579095</v>
      </c>
      <c r="H87" s="243">
        <f t="shared" si="7"/>
        <v>208073.49689895503</v>
      </c>
      <c r="I87" s="24"/>
      <c r="J87" s="241"/>
    </row>
    <row r="88" spans="2:10" x14ac:dyDescent="0.25">
      <c r="B88" s="242"/>
      <c r="C88" s="24"/>
      <c r="D88" s="24">
        <f t="shared" si="6"/>
        <v>61</v>
      </c>
      <c r="E88" s="244">
        <f t="shared" si="1"/>
        <v>18146410.191761233</v>
      </c>
      <c r="F88" s="244">
        <f t="shared" si="2"/>
        <v>168523.23355068141</v>
      </c>
      <c r="G88" s="244">
        <f t="shared" si="3"/>
        <v>39550.263348273613</v>
      </c>
      <c r="H88" s="243">
        <f t="shared" si="7"/>
        <v>208073.49689895503</v>
      </c>
      <c r="I88" s="24"/>
      <c r="J88" s="241"/>
    </row>
    <row r="89" spans="2:10" x14ac:dyDescent="0.25">
      <c r="B89" s="242"/>
      <c r="C89" s="24"/>
      <c r="D89" s="24">
        <f t="shared" si="6"/>
        <v>62</v>
      </c>
      <c r="E89" s="244">
        <f t="shared" si="1"/>
        <v>18106493.429305933</v>
      </c>
      <c r="F89" s="244">
        <f t="shared" si="2"/>
        <v>168156.73444365407</v>
      </c>
      <c r="G89" s="244">
        <f t="shared" si="3"/>
        <v>39916.762455300923</v>
      </c>
      <c r="H89" s="243">
        <f t="shared" si="7"/>
        <v>208073.496898955</v>
      </c>
      <c r="I89" s="24"/>
      <c r="J89" s="241"/>
    </row>
    <row r="90" spans="2:10" x14ac:dyDescent="0.25">
      <c r="B90" s="242"/>
      <c r="C90" s="24"/>
      <c r="D90" s="24">
        <f t="shared" si="6"/>
        <v>63</v>
      </c>
      <c r="E90" s="244">
        <f t="shared" si="1"/>
        <v>18066206.771518547</v>
      </c>
      <c r="F90" s="244">
        <f t="shared" si="2"/>
        <v>167786.83911156832</v>
      </c>
      <c r="G90" s="244">
        <f t="shared" si="3"/>
        <v>40286.657787386677</v>
      </c>
      <c r="H90" s="243">
        <f t="shared" si="7"/>
        <v>208073.496898955</v>
      </c>
      <c r="I90" s="24"/>
      <c r="J90" s="241"/>
    </row>
    <row r="91" spans="2:10" x14ac:dyDescent="0.25">
      <c r="B91" s="242"/>
      <c r="C91" s="24"/>
      <c r="D91" s="24">
        <f t="shared" si="6"/>
        <v>64</v>
      </c>
      <c r="E91" s="244">
        <f t="shared" si="1"/>
        <v>18025546.790702332</v>
      </c>
      <c r="F91" s="244">
        <f t="shared" si="2"/>
        <v>167413.51608273853</v>
      </c>
      <c r="G91" s="244">
        <f t="shared" si="3"/>
        <v>40659.980816216499</v>
      </c>
      <c r="H91" s="243">
        <f t="shared" si="7"/>
        <v>208073.49689895503</v>
      </c>
      <c r="I91" s="24"/>
      <c r="J91" s="241"/>
    </row>
    <row r="92" spans="2:10" x14ac:dyDescent="0.25">
      <c r="B92" s="242"/>
      <c r="C92" s="24"/>
      <c r="D92" s="24">
        <f t="shared" si="6"/>
        <v>65</v>
      </c>
      <c r="E92" s="244">
        <f t="shared" si="1"/>
        <v>17984510.027397219</v>
      </c>
      <c r="F92" s="244">
        <f t="shared" si="2"/>
        <v>167036.73359384161</v>
      </c>
      <c r="G92" s="244">
        <f t="shared" si="3"/>
        <v>41036.763305113418</v>
      </c>
      <c r="H92" s="243">
        <f t="shared" si="7"/>
        <v>208073.49689895503</v>
      </c>
      <c r="I92" s="24"/>
      <c r="J92" s="241"/>
    </row>
    <row r="93" spans="2:10" x14ac:dyDescent="0.25">
      <c r="B93" s="242"/>
      <c r="C93" s="24"/>
      <c r="D93" s="24">
        <f t="shared" si="6"/>
        <v>66</v>
      </c>
      <c r="E93" s="244">
        <f t="shared" ref="E93:E156" si="8">MAX(E92-G93,0)</f>
        <v>17943092.990085479</v>
      </c>
      <c r="F93" s="244">
        <f t="shared" ref="F93:F156" si="9">MAX(E92*$D$19/12,0)</f>
        <v>166656.45958721422</v>
      </c>
      <c r="G93" s="244">
        <f t="shared" ref="G93:G156" si="10">H93-F93</f>
        <v>41417.037311740802</v>
      </c>
      <c r="H93" s="243">
        <f t="shared" si="7"/>
        <v>208073.49689895503</v>
      </c>
      <c r="I93" s="24"/>
      <c r="J93" s="241"/>
    </row>
    <row r="94" spans="2:10" x14ac:dyDescent="0.25">
      <c r="B94" s="242"/>
      <c r="C94" s="24"/>
      <c r="D94" s="24">
        <f t="shared" si="6"/>
        <v>67</v>
      </c>
      <c r="E94" s="244">
        <f t="shared" si="8"/>
        <v>17901292.15489465</v>
      </c>
      <c r="F94" s="244">
        <f t="shared" si="9"/>
        <v>166272.66170812544</v>
      </c>
      <c r="G94" s="244">
        <f t="shared" si="10"/>
        <v>41800.835190829646</v>
      </c>
      <c r="H94" s="243">
        <f t="shared" si="7"/>
        <v>208073.49689895508</v>
      </c>
      <c r="I94" s="24"/>
      <c r="J94" s="241"/>
    </row>
    <row r="95" spans="2:10" x14ac:dyDescent="0.25">
      <c r="B95" s="242"/>
      <c r="C95" s="24"/>
      <c r="D95" s="24">
        <f t="shared" si="6"/>
        <v>68</v>
      </c>
      <c r="E95" s="244">
        <f t="shared" si="8"/>
        <v>17859103.965297718</v>
      </c>
      <c r="F95" s="244">
        <f t="shared" si="9"/>
        <v>165885.30730202375</v>
      </c>
      <c r="G95" s="244">
        <f t="shared" si="10"/>
        <v>42188.189596931334</v>
      </c>
      <c r="H95" s="243">
        <f t="shared" si="7"/>
        <v>208073.49689895508</v>
      </c>
      <c r="I95" s="24"/>
      <c r="J95" s="241"/>
    </row>
    <row r="96" spans="2:10" x14ac:dyDescent="0.25">
      <c r="B96" s="242"/>
      <c r="C96" s="24"/>
      <c r="D96" s="24">
        <f t="shared" si="6"/>
        <v>69</v>
      </c>
      <c r="E96" s="244">
        <f t="shared" si="8"/>
        <v>17816524.831810523</v>
      </c>
      <c r="F96" s="244">
        <f t="shared" si="9"/>
        <v>165494.36341175882</v>
      </c>
      <c r="G96" s="244">
        <f t="shared" si="10"/>
        <v>42579.133487196232</v>
      </c>
      <c r="H96" s="243">
        <f t="shared" si="7"/>
        <v>208073.49689895505</v>
      </c>
      <c r="I96" s="24"/>
      <c r="J96" s="241"/>
    </row>
    <row r="97" spans="2:10" x14ac:dyDescent="0.25">
      <c r="B97" s="242"/>
      <c r="C97" s="24"/>
      <c r="D97" s="24">
        <f t="shared" si="6"/>
        <v>70</v>
      </c>
      <c r="E97" s="244">
        <f t="shared" si="8"/>
        <v>17773551.131686345</v>
      </c>
      <c r="F97" s="244">
        <f t="shared" si="9"/>
        <v>165099.7967747775</v>
      </c>
      <c r="G97" s="244">
        <f t="shared" si="10"/>
        <v>42973.700124177616</v>
      </c>
      <c r="H97" s="243">
        <f t="shared" si="7"/>
        <v>208073.49689895511</v>
      </c>
      <c r="I97" s="24"/>
      <c r="J97" s="241"/>
    </row>
    <row r="98" spans="2:10" x14ac:dyDescent="0.25">
      <c r="B98" s="242"/>
      <c r="C98" s="24"/>
      <c r="D98" s="24">
        <f t="shared" si="6"/>
        <v>71</v>
      </c>
      <c r="E98" s="244">
        <f t="shared" si="8"/>
        <v>17730179.208607685</v>
      </c>
      <c r="F98" s="244">
        <f t="shared" si="9"/>
        <v>164701.57382029344</v>
      </c>
      <c r="G98" s="244">
        <f t="shared" si="10"/>
        <v>43371.923078661639</v>
      </c>
      <c r="H98" s="243">
        <f t="shared" si="7"/>
        <v>208073.49689895508</v>
      </c>
      <c r="I98" s="24"/>
      <c r="J98" s="241"/>
    </row>
    <row r="99" spans="2:10" x14ac:dyDescent="0.25">
      <c r="B99" s="242"/>
      <c r="C99" s="24"/>
      <c r="D99" s="24">
        <f t="shared" si="6"/>
        <v>72</v>
      </c>
      <c r="E99" s="244">
        <f t="shared" si="8"/>
        <v>17686405.37237516</v>
      </c>
      <c r="F99" s="244">
        <f t="shared" si="9"/>
        <v>164299.66066643121</v>
      </c>
      <c r="G99" s="244">
        <f t="shared" si="10"/>
        <v>43773.836232523929</v>
      </c>
      <c r="H99" s="243">
        <f t="shared" si="7"/>
        <v>208073.49689895514</v>
      </c>
      <c r="I99" s="24"/>
      <c r="J99" s="241"/>
    </row>
    <row r="100" spans="2:10" x14ac:dyDescent="0.25">
      <c r="B100" s="242"/>
      <c r="C100" s="24"/>
      <c r="D100" s="24">
        <f t="shared" si="6"/>
        <v>73</v>
      </c>
      <c r="E100" s="244">
        <f t="shared" si="8"/>
        <v>17642225.898593549</v>
      </c>
      <c r="F100" s="244">
        <f t="shared" si="9"/>
        <v>163894.02311734314</v>
      </c>
      <c r="G100" s="244">
        <f t="shared" si="10"/>
        <v>44179.473781612003</v>
      </c>
      <c r="H100" s="243">
        <f t="shared" si="7"/>
        <v>208073.49689895514</v>
      </c>
      <c r="I100" s="24"/>
      <c r="J100" s="241"/>
    </row>
    <row r="101" spans="2:10" x14ac:dyDescent="0.25">
      <c r="B101" s="242"/>
      <c r="C101" s="24"/>
      <c r="D101" s="24">
        <f t="shared" si="6"/>
        <v>74</v>
      </c>
      <c r="E101" s="244">
        <f t="shared" si="8"/>
        <v>17597637.028354894</v>
      </c>
      <c r="F101" s="244">
        <f t="shared" si="9"/>
        <v>163484.62666030022</v>
      </c>
      <c r="G101" s="244">
        <f t="shared" si="10"/>
        <v>44588.870238654927</v>
      </c>
      <c r="H101" s="243">
        <f t="shared" si="7"/>
        <v>208073.49689895514</v>
      </c>
      <c r="I101" s="24"/>
      <c r="J101" s="241"/>
    </row>
    <row r="102" spans="2:10" x14ac:dyDescent="0.25">
      <c r="B102" s="242"/>
      <c r="C102" s="24"/>
      <c r="D102" s="24">
        <f t="shared" si="6"/>
        <v>75</v>
      </c>
      <c r="E102" s="244">
        <f t="shared" si="8"/>
        <v>17552634.967918694</v>
      </c>
      <c r="F102" s="244">
        <f t="shared" si="9"/>
        <v>163071.43646275534</v>
      </c>
      <c r="G102" s="244">
        <f t="shared" si="10"/>
        <v>45002.060436199798</v>
      </c>
      <c r="H102" s="243">
        <f t="shared" si="7"/>
        <v>208073.49689895514</v>
      </c>
      <c r="I102" s="24"/>
      <c r="J102" s="241"/>
    </row>
    <row r="103" spans="2:10" x14ac:dyDescent="0.25">
      <c r="B103" s="242"/>
      <c r="C103" s="24"/>
      <c r="D103" s="24">
        <f t="shared" si="6"/>
        <v>76</v>
      </c>
      <c r="E103" s="244">
        <f t="shared" si="8"/>
        <v>17507215.888389118</v>
      </c>
      <c r="F103" s="244">
        <f t="shared" si="9"/>
        <v>162654.41736937989</v>
      </c>
      <c r="G103" s="244">
        <f t="shared" si="10"/>
        <v>45419.079529575276</v>
      </c>
      <c r="H103" s="243">
        <f t="shared" si="7"/>
        <v>208073.49689895517</v>
      </c>
      <c r="I103" s="24"/>
      <c r="J103" s="241"/>
    </row>
    <row r="104" spans="2:10" x14ac:dyDescent="0.25">
      <c r="B104" s="242"/>
      <c r="C104" s="24"/>
      <c r="D104" s="24">
        <f t="shared" si="6"/>
        <v>77</v>
      </c>
      <c r="E104" s="244">
        <f t="shared" si="8"/>
        <v>17461375.925389234</v>
      </c>
      <c r="F104" s="244">
        <f t="shared" si="9"/>
        <v>162233.53389907247</v>
      </c>
      <c r="G104" s="244">
        <f t="shared" si="10"/>
        <v>45839.9629998827</v>
      </c>
      <c r="H104" s="243">
        <f t="shared" si="7"/>
        <v>208073.49689895517</v>
      </c>
      <c r="I104" s="24"/>
      <c r="J104" s="241"/>
    </row>
    <row r="105" spans="2:10" x14ac:dyDescent="0.25">
      <c r="B105" s="242"/>
      <c r="C105" s="24"/>
      <c r="D105" s="24">
        <f t="shared" si="6"/>
        <v>78</v>
      </c>
      <c r="E105" s="244">
        <f t="shared" si="8"/>
        <v>17415111.17873222</v>
      </c>
      <c r="F105" s="244">
        <f t="shared" si="9"/>
        <v>161808.75024194023</v>
      </c>
      <c r="G105" s="244">
        <f t="shared" si="10"/>
        <v>46264.746657014912</v>
      </c>
      <c r="H105" s="243">
        <f t="shared" si="7"/>
        <v>208073.49689895514</v>
      </c>
      <c r="I105" s="24"/>
      <c r="J105" s="241"/>
    </row>
    <row r="106" spans="2:10" x14ac:dyDescent="0.25">
      <c r="B106" s="242"/>
      <c r="C106" s="24"/>
      <c r="D106" s="24">
        <f t="shared" si="6"/>
        <v>79</v>
      </c>
      <c r="E106" s="244">
        <f t="shared" si="8"/>
        <v>17368417.712089516</v>
      </c>
      <c r="F106" s="244">
        <f t="shared" si="9"/>
        <v>161380.03025625189</v>
      </c>
      <c r="G106" s="244">
        <f t="shared" si="10"/>
        <v>46693.466642703279</v>
      </c>
      <c r="H106" s="243">
        <f t="shared" si="7"/>
        <v>208073.49689895517</v>
      </c>
      <c r="I106" s="24"/>
      <c r="J106" s="241"/>
    </row>
    <row r="107" spans="2:10" x14ac:dyDescent="0.25">
      <c r="B107" s="242"/>
      <c r="C107" s="24"/>
      <c r="D107" s="24">
        <f t="shared" si="6"/>
        <v>80</v>
      </c>
      <c r="E107" s="244">
        <f t="shared" si="8"/>
        <v>17321291.552655924</v>
      </c>
      <c r="F107" s="244">
        <f t="shared" si="9"/>
        <v>160947.33746536283</v>
      </c>
      <c r="G107" s="244">
        <f t="shared" si="10"/>
        <v>47126.159433592344</v>
      </c>
      <c r="H107" s="243">
        <f t="shared" si="7"/>
        <v>208073.49689895517</v>
      </c>
      <c r="I107" s="24"/>
      <c r="J107" s="241"/>
    </row>
    <row r="108" spans="2:10" x14ac:dyDescent="0.25">
      <c r="B108" s="242"/>
      <c r="C108" s="24"/>
      <c r="D108" s="24">
        <f t="shared" si="6"/>
        <v>81</v>
      </c>
      <c r="E108" s="244">
        <f t="shared" si="8"/>
        <v>17273728.690811582</v>
      </c>
      <c r="F108" s="244">
        <f t="shared" si="9"/>
        <v>160510.63505461157</v>
      </c>
      <c r="G108" s="244">
        <f t="shared" si="10"/>
        <v>47562.861844343599</v>
      </c>
      <c r="H108" s="243">
        <f t="shared" si="7"/>
        <v>208073.49689895517</v>
      </c>
      <c r="I108" s="24"/>
      <c r="J108" s="241"/>
    </row>
    <row r="109" spans="2:10" x14ac:dyDescent="0.25">
      <c r="B109" s="242"/>
      <c r="C109" s="24"/>
      <c r="D109" s="24">
        <f t="shared" si="6"/>
        <v>82</v>
      </c>
      <c r="E109" s="244">
        <f t="shared" si="8"/>
        <v>17225725.079780813</v>
      </c>
      <c r="F109" s="244">
        <f t="shared" si="9"/>
        <v>160069.88586818732</v>
      </c>
      <c r="G109" s="244">
        <f t="shared" si="10"/>
        <v>48003.611030767875</v>
      </c>
      <c r="H109" s="243">
        <f t="shared" si="7"/>
        <v>208073.4968989552</v>
      </c>
      <c r="I109" s="24"/>
      <c r="J109" s="241"/>
    </row>
    <row r="110" spans="2:10" x14ac:dyDescent="0.25">
      <c r="B110" s="242"/>
      <c r="C110" s="24"/>
      <c r="D110" s="24">
        <f t="shared" si="6"/>
        <v>83</v>
      </c>
      <c r="E110" s="244">
        <f t="shared" si="8"/>
        <v>17177276.635287829</v>
      </c>
      <c r="F110" s="244">
        <f t="shared" si="9"/>
        <v>159625.05240596886</v>
      </c>
      <c r="G110" s="244">
        <f t="shared" si="10"/>
        <v>48448.444492986338</v>
      </c>
      <c r="H110" s="243">
        <f t="shared" si="7"/>
        <v>208073.4968989552</v>
      </c>
      <c r="I110" s="24"/>
      <c r="J110" s="241"/>
    </row>
    <row r="111" spans="2:10" x14ac:dyDescent="0.25">
      <c r="B111" s="242"/>
      <c r="C111" s="24"/>
      <c r="D111" s="24">
        <f t="shared" ref="D111:D174" si="11">D110+1</f>
        <v>84</v>
      </c>
      <c r="E111" s="244">
        <f t="shared" si="8"/>
        <v>17128379.235209208</v>
      </c>
      <c r="F111" s="244">
        <f t="shared" si="9"/>
        <v>159176.09682033389</v>
      </c>
      <c r="G111" s="244">
        <f t="shared" si="10"/>
        <v>48897.400078621344</v>
      </c>
      <c r="H111" s="243">
        <f t="shared" ref="H111:H174" si="12">IF(D111&gt;$D$8,0,E110*($D$19/12/(1-(1+$D$19/12)^(-($D$8-D110)))))</f>
        <v>208073.49689895523</v>
      </c>
      <c r="I111" s="24"/>
      <c r="J111" s="241"/>
    </row>
    <row r="112" spans="2:10" x14ac:dyDescent="0.25">
      <c r="B112" s="242"/>
      <c r="C112" s="24"/>
      <c r="D112" s="24">
        <f t="shared" si="11"/>
        <v>85</v>
      </c>
      <c r="E112" s="244">
        <f t="shared" si="8"/>
        <v>17079028.71922319</v>
      </c>
      <c r="F112" s="244">
        <f t="shared" si="9"/>
        <v>158722.98091293866</v>
      </c>
      <c r="G112" s="244">
        <f t="shared" si="10"/>
        <v>49350.515986016602</v>
      </c>
      <c r="H112" s="243">
        <f t="shared" si="12"/>
        <v>208073.49689895526</v>
      </c>
      <c r="I112" s="24"/>
      <c r="J112" s="241"/>
    </row>
    <row r="113" spans="2:10" x14ac:dyDescent="0.25">
      <c r="B113" s="242"/>
      <c r="C113" s="24"/>
      <c r="D113" s="24">
        <f t="shared" si="11"/>
        <v>86</v>
      </c>
      <c r="E113" s="244">
        <f t="shared" si="8"/>
        <v>17029220.888455704</v>
      </c>
      <c r="F113" s="244">
        <f t="shared" si="9"/>
        <v>158265.66613146823</v>
      </c>
      <c r="G113" s="244">
        <f t="shared" si="10"/>
        <v>49807.830767487001</v>
      </c>
      <c r="H113" s="243">
        <f t="shared" si="12"/>
        <v>208073.49689895523</v>
      </c>
      <c r="I113" s="24"/>
      <c r="J113" s="241"/>
    </row>
    <row r="114" spans="2:10" x14ac:dyDescent="0.25">
      <c r="B114" s="242"/>
      <c r="C114" s="24"/>
      <c r="D114" s="24">
        <f t="shared" si="11"/>
        <v>87</v>
      </c>
      <c r="E114" s="244">
        <f t="shared" si="8"/>
        <v>16978951.505123105</v>
      </c>
      <c r="F114" s="244">
        <f t="shared" si="9"/>
        <v>157804.11356635619</v>
      </c>
      <c r="G114" s="244">
        <f t="shared" si="10"/>
        <v>50269.383332599042</v>
      </c>
      <c r="H114" s="243">
        <f t="shared" si="12"/>
        <v>208073.49689895523</v>
      </c>
      <c r="I114" s="24"/>
      <c r="J114" s="241"/>
    </row>
    <row r="115" spans="2:10" x14ac:dyDescent="0.25">
      <c r="B115" s="242"/>
      <c r="C115" s="24"/>
      <c r="D115" s="24">
        <f t="shared" si="11"/>
        <v>88</v>
      </c>
      <c r="E115" s="244">
        <f t="shared" si="8"/>
        <v>16928216.292171624</v>
      </c>
      <c r="F115" s="244">
        <f t="shared" si="9"/>
        <v>157338.28394747409</v>
      </c>
      <c r="G115" s="244">
        <f t="shared" si="10"/>
        <v>50735.212951481168</v>
      </c>
      <c r="H115" s="243">
        <f t="shared" si="12"/>
        <v>208073.49689895526</v>
      </c>
      <c r="I115" s="24"/>
      <c r="J115" s="241"/>
    </row>
    <row r="116" spans="2:10" x14ac:dyDescent="0.25">
      <c r="B116" s="242"/>
      <c r="C116" s="24"/>
      <c r="D116" s="24">
        <f t="shared" si="11"/>
        <v>89</v>
      </c>
      <c r="E116" s="244">
        <f t="shared" si="8"/>
        <v>16877010.93291346</v>
      </c>
      <c r="F116" s="244">
        <f t="shared" si="9"/>
        <v>156868.13764079037</v>
      </c>
      <c r="G116" s="244">
        <f t="shared" si="10"/>
        <v>51205.359258164885</v>
      </c>
      <c r="H116" s="243">
        <f t="shared" si="12"/>
        <v>208073.49689895526</v>
      </c>
      <c r="I116" s="24"/>
      <c r="J116" s="241"/>
    </row>
    <row r="117" spans="2:10" x14ac:dyDescent="0.25">
      <c r="B117" s="242"/>
      <c r="C117" s="24"/>
      <c r="D117" s="24">
        <f t="shared" si="11"/>
        <v>90</v>
      </c>
      <c r="E117" s="244">
        <f t="shared" si="8"/>
        <v>16825331.070659503</v>
      </c>
      <c r="F117" s="244">
        <f t="shared" si="9"/>
        <v>156393.63464499803</v>
      </c>
      <c r="G117" s="244">
        <f t="shared" si="10"/>
        <v>51679.862253957253</v>
      </c>
      <c r="H117" s="243">
        <f t="shared" si="12"/>
        <v>208073.49689895529</v>
      </c>
      <c r="I117" s="24"/>
      <c r="J117" s="241"/>
    </row>
    <row r="118" spans="2:10" x14ac:dyDescent="0.25">
      <c r="B118" s="242"/>
      <c r="C118" s="24"/>
      <c r="D118" s="24">
        <f t="shared" si="11"/>
        <v>91</v>
      </c>
      <c r="E118" s="244">
        <f t="shared" si="8"/>
        <v>16773172.308348659</v>
      </c>
      <c r="F118" s="244">
        <f t="shared" si="9"/>
        <v>155914.73458811137</v>
      </c>
      <c r="G118" s="244">
        <f t="shared" si="10"/>
        <v>52158.762310843944</v>
      </c>
      <c r="H118" s="243">
        <f t="shared" si="12"/>
        <v>208073.49689895532</v>
      </c>
      <c r="I118" s="24"/>
      <c r="J118" s="241"/>
    </row>
    <row r="119" spans="2:10" x14ac:dyDescent="0.25">
      <c r="B119" s="242"/>
      <c r="C119" s="24"/>
      <c r="D119" s="24">
        <f t="shared" si="11"/>
        <v>92</v>
      </c>
      <c r="E119" s="244">
        <f t="shared" si="8"/>
        <v>16720530.208173735</v>
      </c>
      <c r="F119" s="244">
        <f t="shared" si="9"/>
        <v>155431.3967240309</v>
      </c>
      <c r="G119" s="244">
        <f t="shared" si="10"/>
        <v>52642.100174924417</v>
      </c>
      <c r="H119" s="243">
        <f t="shared" si="12"/>
        <v>208073.49689895532</v>
      </c>
      <c r="I119" s="24"/>
      <c r="J119" s="241"/>
    </row>
    <row r="120" spans="2:10" x14ac:dyDescent="0.25">
      <c r="B120" s="242"/>
      <c r="C120" s="24"/>
      <c r="D120" s="24">
        <f t="shared" si="11"/>
        <v>93</v>
      </c>
      <c r="E120" s="244">
        <f t="shared" si="8"/>
        <v>16667400.291203856</v>
      </c>
      <c r="F120" s="244">
        <f t="shared" si="9"/>
        <v>154943.5799290766</v>
      </c>
      <c r="G120" s="244">
        <f t="shared" si="10"/>
        <v>53129.916969878715</v>
      </c>
      <c r="H120" s="243">
        <f t="shared" si="12"/>
        <v>208073.49689895532</v>
      </c>
      <c r="I120" s="24"/>
      <c r="J120" s="241"/>
    </row>
    <row r="121" spans="2:10" x14ac:dyDescent="0.25">
      <c r="B121" s="242"/>
      <c r="C121" s="24"/>
      <c r="D121" s="24">
        <f t="shared" si="11"/>
        <v>94</v>
      </c>
      <c r="E121" s="244">
        <f t="shared" si="8"/>
        <v>16613778.03700339</v>
      </c>
      <c r="F121" s="244">
        <f t="shared" si="9"/>
        <v>154451.24269848908</v>
      </c>
      <c r="G121" s="244">
        <f t="shared" si="10"/>
        <v>53622.254200466239</v>
      </c>
      <c r="H121" s="243">
        <f t="shared" si="12"/>
        <v>208073.49689895532</v>
      </c>
      <c r="I121" s="24"/>
      <c r="J121" s="241"/>
    </row>
    <row r="122" spans="2:10" x14ac:dyDescent="0.25">
      <c r="B122" s="242"/>
      <c r="C122" s="24"/>
      <c r="D122" s="24">
        <f t="shared" si="11"/>
        <v>95</v>
      </c>
      <c r="E122" s="244">
        <f t="shared" si="8"/>
        <v>16559658.883247333</v>
      </c>
      <c r="F122" s="244">
        <f t="shared" si="9"/>
        <v>153954.34314289808</v>
      </c>
      <c r="G122" s="244">
        <f t="shared" si="10"/>
        <v>54119.153756057232</v>
      </c>
      <c r="H122" s="243">
        <f t="shared" si="12"/>
        <v>208073.49689895532</v>
      </c>
      <c r="I122" s="24"/>
      <c r="J122" s="241"/>
    </row>
    <row r="123" spans="2:10" x14ac:dyDescent="0.25">
      <c r="B123" s="242"/>
      <c r="C123" s="24"/>
      <c r="D123" s="24">
        <f t="shared" si="11"/>
        <v>96</v>
      </c>
      <c r="E123" s="244">
        <f t="shared" si="8"/>
        <v>16505038.225333136</v>
      </c>
      <c r="F123" s="244">
        <f t="shared" si="9"/>
        <v>153452.83898475862</v>
      </c>
      <c r="G123" s="244">
        <f t="shared" si="10"/>
        <v>54620.657914196723</v>
      </c>
      <c r="H123" s="243">
        <f t="shared" si="12"/>
        <v>208073.49689895535</v>
      </c>
      <c r="I123" s="24"/>
      <c r="J123" s="241"/>
    </row>
    <row r="124" spans="2:10" x14ac:dyDescent="0.25">
      <c r="B124" s="242"/>
      <c r="C124" s="24"/>
      <c r="D124" s="24">
        <f t="shared" si="11"/>
        <v>97</v>
      </c>
      <c r="E124" s="244">
        <f t="shared" si="8"/>
        <v>16449911.415988933</v>
      </c>
      <c r="F124" s="244">
        <f t="shared" si="9"/>
        <v>152946.68755475371</v>
      </c>
      <c r="G124" s="244">
        <f t="shared" si="10"/>
        <v>55126.80934420164</v>
      </c>
      <c r="H124" s="243">
        <f t="shared" si="12"/>
        <v>208073.49689895535</v>
      </c>
      <c r="I124" s="24"/>
      <c r="J124" s="241"/>
    </row>
    <row r="125" spans="2:10" x14ac:dyDescent="0.25">
      <c r="B125" s="242"/>
      <c r="C125" s="24"/>
      <c r="D125" s="24">
        <f t="shared" si="11"/>
        <v>98</v>
      </c>
      <c r="E125" s="244">
        <f t="shared" si="8"/>
        <v>16394273.764878143</v>
      </c>
      <c r="F125" s="244">
        <f t="shared" si="9"/>
        <v>152435.84578816409</v>
      </c>
      <c r="G125" s="244">
        <f t="shared" si="10"/>
        <v>55637.651110791223</v>
      </c>
      <c r="H125" s="243">
        <f t="shared" si="12"/>
        <v>208073.49689895532</v>
      </c>
      <c r="I125" s="24"/>
      <c r="J125" s="241"/>
    </row>
    <row r="126" spans="2:10" x14ac:dyDescent="0.25">
      <c r="B126" s="242"/>
      <c r="C126" s="24"/>
      <c r="D126" s="24">
        <f t="shared" si="11"/>
        <v>99</v>
      </c>
      <c r="E126" s="244">
        <f t="shared" si="8"/>
        <v>16338120.538200391</v>
      </c>
      <c r="F126" s="244">
        <f t="shared" si="9"/>
        <v>151920.27022120412</v>
      </c>
      <c r="G126" s="244">
        <f t="shared" si="10"/>
        <v>56153.226677751256</v>
      </c>
      <c r="H126" s="243">
        <f t="shared" si="12"/>
        <v>208073.49689895537</v>
      </c>
      <c r="I126" s="24"/>
      <c r="J126" s="241"/>
    </row>
    <row r="127" spans="2:10" x14ac:dyDescent="0.25">
      <c r="B127" s="242"/>
      <c r="C127" s="24"/>
      <c r="D127" s="24">
        <f t="shared" si="11"/>
        <v>100</v>
      </c>
      <c r="E127" s="244">
        <f t="shared" si="8"/>
        <v>16281446.958288759</v>
      </c>
      <c r="F127" s="244">
        <f t="shared" si="9"/>
        <v>151399.91698732361</v>
      </c>
      <c r="G127" s="244">
        <f t="shared" si="10"/>
        <v>56673.579911631794</v>
      </c>
      <c r="H127" s="243">
        <f t="shared" si="12"/>
        <v>208073.4968989554</v>
      </c>
      <c r="I127" s="24"/>
      <c r="J127" s="241"/>
    </row>
    <row r="128" spans="2:10" x14ac:dyDescent="0.25">
      <c r="B128" s="242"/>
      <c r="C128" s="24"/>
      <c r="D128" s="24">
        <f t="shared" si="11"/>
        <v>101</v>
      </c>
      <c r="E128" s="244">
        <f t="shared" si="8"/>
        <v>16224248.20320328</v>
      </c>
      <c r="F128" s="244">
        <f t="shared" si="9"/>
        <v>150874.74181347582</v>
      </c>
      <c r="G128" s="244">
        <f t="shared" si="10"/>
        <v>57198.755085479526</v>
      </c>
      <c r="H128" s="243">
        <f t="shared" si="12"/>
        <v>208073.49689895535</v>
      </c>
      <c r="I128" s="24"/>
      <c r="J128" s="241"/>
    </row>
    <row r="129" spans="2:10" x14ac:dyDescent="0.25">
      <c r="B129" s="242"/>
      <c r="C129" s="24"/>
      <c r="D129" s="24">
        <f t="shared" si="11"/>
        <v>102</v>
      </c>
      <c r="E129" s="244">
        <f t="shared" si="8"/>
        <v>16166519.406320674</v>
      </c>
      <c r="F129" s="244">
        <f t="shared" si="9"/>
        <v>150344.7000163504</v>
      </c>
      <c r="G129" s="244">
        <f t="shared" si="10"/>
        <v>57728.796882605006</v>
      </c>
      <c r="H129" s="243">
        <f t="shared" si="12"/>
        <v>208073.4968989554</v>
      </c>
      <c r="I129" s="24"/>
      <c r="J129" s="241"/>
    </row>
    <row r="130" spans="2:10" x14ac:dyDescent="0.25">
      <c r="B130" s="242"/>
      <c r="C130" s="24"/>
      <c r="D130" s="24">
        <f t="shared" si="11"/>
        <v>103</v>
      </c>
      <c r="E130" s="244">
        <f t="shared" si="8"/>
        <v>16108255.655920291</v>
      </c>
      <c r="F130" s="244">
        <f t="shared" si="9"/>
        <v>149809.74649857156</v>
      </c>
      <c r="G130" s="244">
        <f t="shared" si="10"/>
        <v>58263.750400383811</v>
      </c>
      <c r="H130" s="243">
        <f t="shared" si="12"/>
        <v>208073.49689895537</v>
      </c>
      <c r="I130" s="24"/>
      <c r="J130" s="241"/>
    </row>
    <row r="131" spans="2:10" x14ac:dyDescent="0.25">
      <c r="B131" s="242"/>
      <c r="C131" s="24"/>
      <c r="D131" s="24">
        <f t="shared" si="11"/>
        <v>104</v>
      </c>
      <c r="E131" s="244">
        <f t="shared" si="8"/>
        <v>16049451.994766198</v>
      </c>
      <c r="F131" s="244">
        <f t="shared" si="9"/>
        <v>149269.83574486137</v>
      </c>
      <c r="G131" s="244">
        <f t="shared" si="10"/>
        <v>58803.661154094007</v>
      </c>
      <c r="H131" s="243">
        <f t="shared" si="12"/>
        <v>208073.49689895537</v>
      </c>
      <c r="I131" s="24"/>
      <c r="J131" s="241"/>
    </row>
    <row r="132" spans="2:10" x14ac:dyDescent="0.25">
      <c r="B132" s="242"/>
      <c r="C132" s="24"/>
      <c r="D132" s="24">
        <f t="shared" si="11"/>
        <v>105</v>
      </c>
      <c r="E132" s="244">
        <f t="shared" si="8"/>
        <v>15990103.41968541</v>
      </c>
      <c r="F132" s="244">
        <f t="shared" si="9"/>
        <v>148724.92181816677</v>
      </c>
      <c r="G132" s="244">
        <f t="shared" si="10"/>
        <v>59348.575080788636</v>
      </c>
      <c r="H132" s="243">
        <f t="shared" si="12"/>
        <v>208073.4968989554</v>
      </c>
      <c r="I132" s="24"/>
      <c r="J132" s="241"/>
    </row>
    <row r="133" spans="2:10" x14ac:dyDescent="0.25">
      <c r="B133" s="242"/>
      <c r="C133" s="24"/>
      <c r="D133" s="24">
        <f t="shared" si="11"/>
        <v>106</v>
      </c>
      <c r="E133" s="244">
        <f t="shared" si="8"/>
        <v>15930204.881142206</v>
      </c>
      <c r="F133" s="244">
        <f t="shared" si="9"/>
        <v>148174.95835575144</v>
      </c>
      <c r="G133" s="244">
        <f t="shared" si="10"/>
        <v>59898.53854320402</v>
      </c>
      <c r="H133" s="243">
        <f t="shared" si="12"/>
        <v>208073.49689895546</v>
      </c>
      <c r="I133" s="24"/>
      <c r="J133" s="241"/>
    </row>
    <row r="134" spans="2:10" x14ac:dyDescent="0.25">
      <c r="B134" s="242"/>
      <c r="C134" s="24"/>
      <c r="D134" s="24">
        <f t="shared" si="11"/>
        <v>107</v>
      </c>
      <c r="E134" s="244">
        <f t="shared" si="8"/>
        <v>15869751.282808501</v>
      </c>
      <c r="F134" s="244">
        <f t="shared" si="9"/>
        <v>147619.89856525112</v>
      </c>
      <c r="G134" s="244">
        <f t="shared" si="10"/>
        <v>60453.598333704344</v>
      </c>
      <c r="H134" s="243">
        <f t="shared" si="12"/>
        <v>208073.49689895546</v>
      </c>
      <c r="I134" s="24"/>
      <c r="J134" s="241"/>
    </row>
    <row r="135" spans="2:10" x14ac:dyDescent="0.25">
      <c r="B135" s="242"/>
      <c r="C135" s="24"/>
      <c r="D135" s="24">
        <f t="shared" si="11"/>
        <v>108</v>
      </c>
      <c r="E135" s="244">
        <f t="shared" si="8"/>
        <v>15808737.481130239</v>
      </c>
      <c r="F135" s="244">
        <f t="shared" si="9"/>
        <v>147059.69522069211</v>
      </c>
      <c r="G135" s="244">
        <f t="shared" si="10"/>
        <v>61013.80167826332</v>
      </c>
      <c r="H135" s="243">
        <f t="shared" si="12"/>
        <v>208073.49689895543</v>
      </c>
      <c r="I135" s="24"/>
      <c r="J135" s="241"/>
    </row>
    <row r="136" spans="2:10" x14ac:dyDescent="0.25">
      <c r="B136" s="242"/>
      <c r="C136" s="24"/>
      <c r="D136" s="24">
        <f t="shared" si="11"/>
        <v>109</v>
      </c>
      <c r="E136" s="244">
        <f t="shared" si="8"/>
        <v>15747158.284889758</v>
      </c>
      <c r="F136" s="244">
        <f t="shared" si="9"/>
        <v>146494.30065847354</v>
      </c>
      <c r="G136" s="244">
        <f t="shared" si="10"/>
        <v>61579.196240481921</v>
      </c>
      <c r="H136" s="243">
        <f t="shared" si="12"/>
        <v>208073.49689895546</v>
      </c>
      <c r="I136" s="24"/>
      <c r="J136" s="241"/>
    </row>
    <row r="137" spans="2:10" x14ac:dyDescent="0.25">
      <c r="B137" s="242"/>
      <c r="C137" s="24"/>
      <c r="D137" s="24">
        <f t="shared" si="11"/>
        <v>110</v>
      </c>
      <c r="E137" s="244">
        <f t="shared" si="8"/>
        <v>15685008.454764115</v>
      </c>
      <c r="F137" s="244">
        <f t="shared" si="9"/>
        <v>145923.66677331174</v>
      </c>
      <c r="G137" s="244">
        <f t="shared" si="10"/>
        <v>62149.830125643755</v>
      </c>
      <c r="H137" s="243">
        <f t="shared" si="12"/>
        <v>208073.49689895549</v>
      </c>
      <c r="I137" s="24"/>
      <c r="J137" s="241"/>
    </row>
    <row r="138" spans="2:10" x14ac:dyDescent="0.25">
      <c r="B138" s="242"/>
      <c r="C138" s="24"/>
      <c r="D138" s="24">
        <f t="shared" si="11"/>
        <v>111</v>
      </c>
      <c r="E138" s="244">
        <f t="shared" si="8"/>
        <v>15622282.702879306</v>
      </c>
      <c r="F138" s="244">
        <f t="shared" si="9"/>
        <v>145347.74501414745</v>
      </c>
      <c r="G138" s="244">
        <f t="shared" si="10"/>
        <v>62725.751884808036</v>
      </c>
      <c r="H138" s="243">
        <f t="shared" si="12"/>
        <v>208073.49689895549</v>
      </c>
      <c r="I138" s="24"/>
      <c r="J138" s="241"/>
    </row>
    <row r="139" spans="2:10" x14ac:dyDescent="0.25">
      <c r="B139" s="242"/>
      <c r="C139" s="24"/>
      <c r="D139" s="24">
        <f t="shared" si="11"/>
        <v>112</v>
      </c>
      <c r="E139" s="244">
        <f t="shared" si="8"/>
        <v>15558975.692360366</v>
      </c>
      <c r="F139" s="244">
        <f t="shared" si="9"/>
        <v>144766.48638001489</v>
      </c>
      <c r="G139" s="244">
        <f t="shared" si="10"/>
        <v>63307.010518940631</v>
      </c>
      <c r="H139" s="243">
        <f t="shared" si="12"/>
        <v>208073.49689895552</v>
      </c>
      <c r="I139" s="24"/>
      <c r="J139" s="241"/>
    </row>
    <row r="140" spans="2:10" x14ac:dyDescent="0.25">
      <c r="B140" s="242"/>
      <c r="C140" s="24"/>
      <c r="D140" s="24">
        <f t="shared" si="11"/>
        <v>113</v>
      </c>
      <c r="E140" s="244">
        <f t="shared" si="8"/>
        <v>15495082.036877284</v>
      </c>
      <c r="F140" s="244">
        <f t="shared" si="9"/>
        <v>144179.84141587271</v>
      </c>
      <c r="G140" s="244">
        <f t="shared" si="10"/>
        <v>63893.65548308281</v>
      </c>
      <c r="H140" s="243">
        <f t="shared" si="12"/>
        <v>208073.49689895552</v>
      </c>
      <c r="I140" s="24"/>
      <c r="J140" s="241"/>
    </row>
    <row r="141" spans="2:10" x14ac:dyDescent="0.25">
      <c r="B141" s="242"/>
      <c r="C141" s="24"/>
      <c r="D141" s="24">
        <f t="shared" si="11"/>
        <v>114</v>
      </c>
      <c r="E141" s="244">
        <f t="shared" si="8"/>
        <v>15430596.300186725</v>
      </c>
      <c r="F141" s="244">
        <f t="shared" si="9"/>
        <v>143587.76020839615</v>
      </c>
      <c r="G141" s="244">
        <f t="shared" si="10"/>
        <v>64485.736690559366</v>
      </c>
      <c r="H141" s="243">
        <f t="shared" si="12"/>
        <v>208073.49689895552</v>
      </c>
      <c r="I141" s="24"/>
      <c r="J141" s="241"/>
    </row>
    <row r="142" spans="2:10" x14ac:dyDescent="0.25">
      <c r="B142" s="242"/>
      <c r="C142" s="24"/>
      <c r="D142" s="24">
        <f t="shared" si="11"/>
        <v>115</v>
      </c>
      <c r="E142" s="244">
        <f t="shared" si="8"/>
        <v>15365512.995669501</v>
      </c>
      <c r="F142" s="244">
        <f t="shared" si="9"/>
        <v>142990.1923817303</v>
      </c>
      <c r="G142" s="244">
        <f t="shared" si="10"/>
        <v>65083.304517225304</v>
      </c>
      <c r="H142" s="243">
        <f t="shared" si="12"/>
        <v>208073.49689895561</v>
      </c>
      <c r="I142" s="24"/>
      <c r="J142" s="241"/>
    </row>
    <row r="143" spans="2:10" x14ac:dyDescent="0.25">
      <c r="B143" s="242"/>
      <c r="C143" s="24"/>
      <c r="D143" s="24">
        <f t="shared" si="11"/>
        <v>116</v>
      </c>
      <c r="E143" s="244">
        <f t="shared" si="8"/>
        <v>15299826.585863749</v>
      </c>
      <c r="F143" s="244">
        <f t="shared" si="9"/>
        <v>142387.08709320403</v>
      </c>
      <c r="G143" s="244">
        <f t="shared" si="10"/>
        <v>65686.409805751551</v>
      </c>
      <c r="H143" s="243">
        <f t="shared" si="12"/>
        <v>208073.49689895558</v>
      </c>
      <c r="I143" s="24"/>
      <c r="J143" s="241"/>
    </row>
    <row r="144" spans="2:10" x14ac:dyDescent="0.25">
      <c r="B144" s="242"/>
      <c r="C144" s="24"/>
      <c r="D144" s="24">
        <f t="shared" si="11"/>
        <v>117</v>
      </c>
      <c r="E144" s="244">
        <f t="shared" si="8"/>
        <v>15233531.481993796</v>
      </c>
      <c r="F144" s="244">
        <f t="shared" si="9"/>
        <v>141778.39302900407</v>
      </c>
      <c r="G144" s="244">
        <f t="shared" si="10"/>
        <v>66295.103869951534</v>
      </c>
      <c r="H144" s="243">
        <f t="shared" si="12"/>
        <v>208073.49689895561</v>
      </c>
      <c r="I144" s="24"/>
      <c r="J144" s="241"/>
    </row>
    <row r="145" spans="2:10" x14ac:dyDescent="0.25">
      <c r="B145" s="242"/>
      <c r="C145" s="24"/>
      <c r="D145" s="24">
        <f t="shared" si="11"/>
        <v>118</v>
      </c>
      <c r="E145" s="244">
        <f t="shared" si="8"/>
        <v>15166622.043494649</v>
      </c>
      <c r="F145" s="244">
        <f t="shared" si="9"/>
        <v>141164.05839980918</v>
      </c>
      <c r="G145" s="244">
        <f t="shared" si="10"/>
        <v>66909.438499146432</v>
      </c>
      <c r="H145" s="243">
        <f t="shared" si="12"/>
        <v>208073.49689895561</v>
      </c>
      <c r="I145" s="24"/>
      <c r="J145" s="241"/>
    </row>
    <row r="146" spans="2:10" x14ac:dyDescent="0.25">
      <c r="B146" s="242"/>
      <c r="C146" s="24"/>
      <c r="D146" s="24">
        <f t="shared" si="11"/>
        <v>119</v>
      </c>
      <c r="E146" s="244">
        <f t="shared" si="8"/>
        <v>15099092.577532077</v>
      </c>
      <c r="F146" s="244">
        <f t="shared" si="9"/>
        <v>140544.03093638373</v>
      </c>
      <c r="G146" s="244">
        <f t="shared" si="10"/>
        <v>67529.465962571878</v>
      </c>
      <c r="H146" s="243">
        <f t="shared" si="12"/>
        <v>208073.49689895561</v>
      </c>
      <c r="I146" s="24"/>
      <c r="J146" s="241"/>
    </row>
    <row r="147" spans="2:10" x14ac:dyDescent="0.25">
      <c r="B147" s="242"/>
      <c r="C147" s="24"/>
      <c r="D147" s="24">
        <f t="shared" si="11"/>
        <v>120</v>
      </c>
      <c r="E147" s="244">
        <f t="shared" si="8"/>
        <v>15030937.338518253</v>
      </c>
      <c r="F147" s="244">
        <f t="shared" si="9"/>
        <v>139918.25788513056</v>
      </c>
      <c r="G147" s="244">
        <f t="shared" si="10"/>
        <v>68155.239013825048</v>
      </c>
      <c r="H147" s="243">
        <f t="shared" si="12"/>
        <v>208073.49689895561</v>
      </c>
      <c r="I147" s="24"/>
      <c r="J147" s="241"/>
    </row>
    <row r="148" spans="2:10" x14ac:dyDescent="0.25">
      <c r="B148" s="242"/>
      <c r="C148" s="24"/>
      <c r="D148" s="24">
        <f t="shared" si="11"/>
        <v>121</v>
      </c>
      <c r="E148" s="244">
        <f t="shared" si="8"/>
        <v>14962150.527622899</v>
      </c>
      <c r="F148" s="244">
        <f t="shared" si="9"/>
        <v>139286.68600360246</v>
      </c>
      <c r="G148" s="244">
        <f t="shared" si="10"/>
        <v>68786.810895353148</v>
      </c>
      <c r="H148" s="243">
        <f t="shared" si="12"/>
        <v>208073.49689895561</v>
      </c>
      <c r="I148" s="24"/>
      <c r="J148" s="241"/>
    </row>
    <row r="149" spans="2:10" x14ac:dyDescent="0.25">
      <c r="B149" s="242"/>
      <c r="C149" s="24"/>
      <c r="D149" s="24">
        <f t="shared" si="11"/>
        <v>122</v>
      </c>
      <c r="E149" s="244">
        <f t="shared" si="8"/>
        <v>14892726.292279916</v>
      </c>
      <c r="F149" s="244">
        <f t="shared" si="9"/>
        <v>138649.26155597219</v>
      </c>
      <c r="G149" s="244">
        <f t="shared" si="10"/>
        <v>69424.235342983418</v>
      </c>
      <c r="H149" s="243">
        <f t="shared" si="12"/>
        <v>208073.49689895561</v>
      </c>
      <c r="I149" s="24"/>
      <c r="J149" s="241"/>
    </row>
    <row r="150" spans="2:10" x14ac:dyDescent="0.25">
      <c r="B150" s="242"/>
      <c r="C150" s="24"/>
      <c r="D150" s="24">
        <f t="shared" si="11"/>
        <v>123</v>
      </c>
      <c r="E150" s="244">
        <f t="shared" si="8"/>
        <v>14822658.72568942</v>
      </c>
      <c r="F150" s="244">
        <f t="shared" si="9"/>
        <v>138005.93030846055</v>
      </c>
      <c r="G150" s="244">
        <f t="shared" si="10"/>
        <v>70067.566590495087</v>
      </c>
      <c r="H150" s="243">
        <f t="shared" si="12"/>
        <v>208073.49689895564</v>
      </c>
      <c r="I150" s="24"/>
      <c r="J150" s="241"/>
    </row>
    <row r="151" spans="2:10" x14ac:dyDescent="0.25">
      <c r="B151" s="242"/>
      <c r="C151" s="24"/>
      <c r="D151" s="24">
        <f t="shared" si="11"/>
        <v>124</v>
      </c>
      <c r="E151" s="244">
        <f t="shared" si="8"/>
        <v>14751941.866315186</v>
      </c>
      <c r="F151" s="244">
        <f t="shared" si="9"/>
        <v>137356.63752472194</v>
      </c>
      <c r="G151" s="244">
        <f t="shared" si="10"/>
        <v>70716.859374233696</v>
      </c>
      <c r="H151" s="243">
        <f t="shared" si="12"/>
        <v>208073.49689895564</v>
      </c>
      <c r="I151" s="24"/>
      <c r="J151" s="241"/>
    </row>
    <row r="152" spans="2:10" x14ac:dyDescent="0.25">
      <c r="B152" s="242"/>
      <c r="C152" s="24"/>
      <c r="D152" s="24">
        <f t="shared" si="11"/>
        <v>125</v>
      </c>
      <c r="E152" s="244">
        <f t="shared" si="8"/>
        <v>14680569.697377417</v>
      </c>
      <c r="F152" s="244">
        <f t="shared" si="9"/>
        <v>136701.32796118737</v>
      </c>
      <c r="G152" s="244">
        <f t="shared" si="10"/>
        <v>71372.168937768263</v>
      </c>
      <c r="H152" s="243">
        <f t="shared" si="12"/>
        <v>208073.49689895564</v>
      </c>
      <c r="I152" s="24"/>
      <c r="J152" s="241"/>
    </row>
    <row r="153" spans="2:10" x14ac:dyDescent="0.25">
      <c r="B153" s="242"/>
      <c r="C153" s="24"/>
      <c r="D153" s="24">
        <f t="shared" si="11"/>
        <v>126</v>
      </c>
      <c r="E153" s="244">
        <f t="shared" si="8"/>
        <v>14608536.146340827</v>
      </c>
      <c r="F153" s="244">
        <f t="shared" si="9"/>
        <v>136039.94586236405</v>
      </c>
      <c r="G153" s="244">
        <f t="shared" si="10"/>
        <v>72033.551036591583</v>
      </c>
      <c r="H153" s="243">
        <f t="shared" si="12"/>
        <v>208073.49689895564</v>
      </c>
      <c r="I153" s="24"/>
      <c r="J153" s="241"/>
    </row>
    <row r="154" spans="2:10" x14ac:dyDescent="0.25">
      <c r="B154" s="242"/>
      <c r="C154" s="24"/>
      <c r="D154" s="24">
        <f t="shared" si="11"/>
        <v>127</v>
      </c>
      <c r="E154" s="244">
        <f t="shared" si="8"/>
        <v>14535835.084397962</v>
      </c>
      <c r="F154" s="244">
        <f t="shared" si="9"/>
        <v>135372.43495609166</v>
      </c>
      <c r="G154" s="244">
        <f t="shared" si="10"/>
        <v>72701.061942864006</v>
      </c>
      <c r="H154" s="243">
        <f t="shared" si="12"/>
        <v>208073.49689895567</v>
      </c>
      <c r="I154" s="24"/>
      <c r="J154" s="241"/>
    </row>
    <row r="155" spans="2:10" x14ac:dyDescent="0.25">
      <c r="B155" s="242"/>
      <c r="C155" s="24"/>
      <c r="D155" s="24">
        <f t="shared" si="11"/>
        <v>128</v>
      </c>
      <c r="E155" s="244">
        <f t="shared" si="8"/>
        <v>14462460.325947762</v>
      </c>
      <c r="F155" s="244">
        <f t="shared" si="9"/>
        <v>134698.73844875445</v>
      </c>
      <c r="G155" s="244">
        <f t="shared" si="10"/>
        <v>73374.758450201247</v>
      </c>
      <c r="H155" s="243">
        <f t="shared" si="12"/>
        <v>208073.49689895569</v>
      </c>
      <c r="I155" s="24"/>
      <c r="J155" s="241"/>
    </row>
    <row r="156" spans="2:10" x14ac:dyDescent="0.25">
      <c r="B156" s="242"/>
      <c r="C156" s="24"/>
      <c r="D156" s="24">
        <f t="shared" si="11"/>
        <v>129</v>
      </c>
      <c r="E156" s="244">
        <f t="shared" si="8"/>
        <v>14388405.628069256</v>
      </c>
      <c r="F156" s="244">
        <f t="shared" si="9"/>
        <v>134018.79902044925</v>
      </c>
      <c r="G156" s="244">
        <f t="shared" si="10"/>
        <v>74054.697878506442</v>
      </c>
      <c r="H156" s="243">
        <f t="shared" si="12"/>
        <v>208073.49689895569</v>
      </c>
      <c r="I156" s="24"/>
      <c r="J156" s="241"/>
    </row>
    <row r="157" spans="2:10" x14ac:dyDescent="0.25">
      <c r="B157" s="242"/>
      <c r="C157" s="24"/>
      <c r="D157" s="24">
        <f t="shared" si="11"/>
        <v>130</v>
      </c>
      <c r="E157" s="244">
        <f t="shared" ref="E157:E220" si="13">MAX(E156-G157,0)</f>
        <v>14313664.689990409</v>
      </c>
      <c r="F157" s="244">
        <f t="shared" ref="F157:F220" si="14">MAX(E156*$D$19/12,0)</f>
        <v>133332.55882010842</v>
      </c>
      <c r="G157" s="244">
        <f t="shared" ref="G157:G220" si="15">H157-F157</f>
        <v>74740.938078847306</v>
      </c>
      <c r="H157" s="243">
        <f t="shared" si="12"/>
        <v>208073.49689895572</v>
      </c>
      <c r="I157" s="24"/>
      <c r="J157" s="241"/>
    </row>
    <row r="158" spans="2:10" x14ac:dyDescent="0.25">
      <c r="B158" s="242"/>
      <c r="C158" s="24"/>
      <c r="D158" s="24">
        <f t="shared" si="11"/>
        <v>131</v>
      </c>
      <c r="E158" s="244">
        <f t="shared" si="13"/>
        <v>14238231.152552031</v>
      </c>
      <c r="F158" s="244">
        <f t="shared" si="14"/>
        <v>132639.95946057778</v>
      </c>
      <c r="G158" s="244">
        <f t="shared" si="15"/>
        <v>75433.537438377942</v>
      </c>
      <c r="H158" s="243">
        <f t="shared" si="12"/>
        <v>208073.49689895572</v>
      </c>
      <c r="I158" s="24"/>
      <c r="J158" s="241"/>
    </row>
    <row r="159" spans="2:10" x14ac:dyDescent="0.25">
      <c r="B159" s="242"/>
      <c r="C159" s="24"/>
      <c r="D159" s="24">
        <f t="shared" si="11"/>
        <v>132</v>
      </c>
      <c r="E159" s="244">
        <f t="shared" si="13"/>
        <v>14162098.597666724</v>
      </c>
      <c r="F159" s="244">
        <f t="shared" si="14"/>
        <v>131940.9420136488</v>
      </c>
      <c r="G159" s="244">
        <f t="shared" si="15"/>
        <v>76132.554885306978</v>
      </c>
      <c r="H159" s="243">
        <f t="shared" si="12"/>
        <v>208073.49689895578</v>
      </c>
      <c r="I159" s="24"/>
      <c r="J159" s="241"/>
    </row>
    <row r="160" spans="2:10" x14ac:dyDescent="0.25">
      <c r="B160" s="242"/>
      <c r="C160" s="24"/>
      <c r="D160" s="24">
        <f t="shared" si="11"/>
        <v>133</v>
      </c>
      <c r="E160" s="244">
        <f t="shared" si="13"/>
        <v>14085260.547772814</v>
      </c>
      <c r="F160" s="244">
        <f t="shared" si="14"/>
        <v>131235.44700504496</v>
      </c>
      <c r="G160" s="244">
        <f t="shared" si="15"/>
        <v>76838.049893910793</v>
      </c>
      <c r="H160" s="243">
        <f t="shared" si="12"/>
        <v>208073.49689895575</v>
      </c>
      <c r="I160" s="24"/>
      <c r="J160" s="241"/>
    </row>
    <row r="161" spans="2:10" x14ac:dyDescent="0.25">
      <c r="B161" s="242"/>
      <c r="C161" s="24"/>
      <c r="D161" s="24">
        <f t="shared" si="11"/>
        <v>134</v>
      </c>
      <c r="E161" s="244">
        <f t="shared" si="13"/>
        <v>14007710.465283219</v>
      </c>
      <c r="F161" s="244">
        <f t="shared" si="14"/>
        <v>130523.41440936139</v>
      </c>
      <c r="G161" s="244">
        <f t="shared" si="15"/>
        <v>77550.082489594395</v>
      </c>
      <c r="H161" s="243">
        <f t="shared" si="12"/>
        <v>208073.49689895578</v>
      </c>
      <c r="I161" s="24"/>
      <c r="J161" s="241"/>
    </row>
    <row r="162" spans="2:10" x14ac:dyDescent="0.25">
      <c r="B162" s="242"/>
      <c r="C162" s="24"/>
      <c r="D162" s="24">
        <f t="shared" si="11"/>
        <v>135</v>
      </c>
      <c r="E162" s="244">
        <f t="shared" si="13"/>
        <v>13929441.752029222</v>
      </c>
      <c r="F162" s="244">
        <f t="shared" si="14"/>
        <v>129804.78364495782</v>
      </c>
      <c r="G162" s="244">
        <f t="shared" si="15"/>
        <v>78268.713253997994</v>
      </c>
      <c r="H162" s="243">
        <f t="shared" si="12"/>
        <v>208073.49689895581</v>
      </c>
      <c r="I162" s="24"/>
      <c r="J162" s="241"/>
    </row>
    <row r="163" spans="2:10" x14ac:dyDescent="0.25">
      <c r="B163" s="242"/>
      <c r="C163" s="24"/>
      <c r="D163" s="24">
        <f t="shared" si="11"/>
        <v>136</v>
      </c>
      <c r="E163" s="244">
        <f t="shared" si="13"/>
        <v>13850447.748699069</v>
      </c>
      <c r="F163" s="244">
        <f t="shared" si="14"/>
        <v>129079.49356880412</v>
      </c>
      <c r="G163" s="244">
        <f t="shared" si="15"/>
        <v>78994.003330151696</v>
      </c>
      <c r="H163" s="243">
        <f t="shared" si="12"/>
        <v>208073.49689895581</v>
      </c>
      <c r="I163" s="24"/>
      <c r="J163" s="241"/>
    </row>
    <row r="164" spans="2:10" x14ac:dyDescent="0.25">
      <c r="B164" s="242"/>
      <c r="C164" s="24"/>
      <c r="D164" s="24">
        <f t="shared" si="11"/>
        <v>137</v>
      </c>
      <c r="E164" s="244">
        <f t="shared" si="13"/>
        <v>13770721.73427139</v>
      </c>
      <c r="F164" s="244">
        <f t="shared" si="14"/>
        <v>128347.48247127804</v>
      </c>
      <c r="G164" s="244">
        <f t="shared" si="15"/>
        <v>79726.014427677772</v>
      </c>
      <c r="H164" s="243">
        <f t="shared" si="12"/>
        <v>208073.49689895581</v>
      </c>
      <c r="I164" s="24"/>
      <c r="J164" s="241"/>
    </row>
    <row r="165" spans="2:10" x14ac:dyDescent="0.25">
      <c r="B165" s="242"/>
      <c r="C165" s="24"/>
      <c r="D165" s="24">
        <f t="shared" si="11"/>
        <v>138</v>
      </c>
      <c r="E165" s="244">
        <f t="shared" si="13"/>
        <v>13690256.925443349</v>
      </c>
      <c r="F165" s="244">
        <f t="shared" si="14"/>
        <v>127608.68807091488</v>
      </c>
      <c r="G165" s="244">
        <f t="shared" si="15"/>
        <v>80464.808828040957</v>
      </c>
      <c r="H165" s="243">
        <f t="shared" si="12"/>
        <v>208073.49689895584</v>
      </c>
      <c r="I165" s="24"/>
      <c r="J165" s="241"/>
    </row>
    <row r="166" spans="2:10" x14ac:dyDescent="0.25">
      <c r="B166" s="242"/>
      <c r="C166" s="24"/>
      <c r="D166" s="24">
        <f t="shared" si="11"/>
        <v>139</v>
      </c>
      <c r="E166" s="244">
        <f t="shared" si="13"/>
        <v>13609046.476053502</v>
      </c>
      <c r="F166" s="244">
        <f t="shared" si="14"/>
        <v>126863.04750910836</v>
      </c>
      <c r="G166" s="244">
        <f t="shared" si="15"/>
        <v>81210.449389847476</v>
      </c>
      <c r="H166" s="243">
        <f t="shared" si="12"/>
        <v>208073.49689895584</v>
      </c>
      <c r="I166" s="24"/>
      <c r="J166" s="241"/>
    </row>
    <row r="167" spans="2:10" x14ac:dyDescent="0.25">
      <c r="B167" s="242"/>
      <c r="C167" s="24"/>
      <c r="D167" s="24">
        <f t="shared" si="11"/>
        <v>140</v>
      </c>
      <c r="E167" s="244">
        <f t="shared" si="13"/>
        <v>13527083.47649931</v>
      </c>
      <c r="F167" s="244">
        <f t="shared" si="14"/>
        <v>126110.49734476245</v>
      </c>
      <c r="G167" s="244">
        <f t="shared" si="15"/>
        <v>81962.999554193419</v>
      </c>
      <c r="H167" s="243">
        <f t="shared" si="12"/>
        <v>208073.49689895587</v>
      </c>
      <c r="I167" s="24"/>
      <c r="J167" s="241"/>
    </row>
    <row r="168" spans="2:10" x14ac:dyDescent="0.25">
      <c r="B168" s="242"/>
      <c r="C168" s="24"/>
      <c r="D168" s="24">
        <f t="shared" si="11"/>
        <v>141</v>
      </c>
      <c r="E168" s="244">
        <f t="shared" si="13"/>
        <v>13444360.953149248</v>
      </c>
      <c r="F168" s="244">
        <f t="shared" si="14"/>
        <v>125350.9735488936</v>
      </c>
      <c r="G168" s="244">
        <f t="shared" si="15"/>
        <v>82722.5233500623</v>
      </c>
      <c r="H168" s="243">
        <f t="shared" si="12"/>
        <v>208073.4968989559</v>
      </c>
      <c r="I168" s="24"/>
      <c r="J168" s="241"/>
    </row>
    <row r="169" spans="2:10" x14ac:dyDescent="0.25">
      <c r="B169" s="242"/>
      <c r="C169" s="24"/>
      <c r="D169" s="24">
        <f t="shared" si="11"/>
        <v>142</v>
      </c>
      <c r="E169" s="244">
        <f t="shared" si="13"/>
        <v>13360871.867749475</v>
      </c>
      <c r="F169" s="244">
        <f t="shared" si="14"/>
        <v>124584.41149918303</v>
      </c>
      <c r="G169" s="244">
        <f t="shared" si="15"/>
        <v>83489.08539977287</v>
      </c>
      <c r="H169" s="243">
        <f t="shared" si="12"/>
        <v>208073.4968989559</v>
      </c>
      <c r="I169" s="24"/>
      <c r="J169" s="241"/>
    </row>
    <row r="170" spans="2:10" x14ac:dyDescent="0.25">
      <c r="B170" s="242"/>
      <c r="C170" s="24"/>
      <c r="D170" s="24">
        <f t="shared" si="11"/>
        <v>143</v>
      </c>
      <c r="E170" s="244">
        <f t="shared" si="13"/>
        <v>13276609.116824998</v>
      </c>
      <c r="F170" s="244">
        <f t="shared" si="14"/>
        <v>123810.74597447847</v>
      </c>
      <c r="G170" s="244">
        <f t="shared" si="15"/>
        <v>84262.750924477485</v>
      </c>
      <c r="H170" s="243">
        <f t="shared" si="12"/>
        <v>208073.49689895596</v>
      </c>
      <c r="I170" s="24"/>
      <c r="J170" s="241"/>
    </row>
    <row r="171" spans="2:10" x14ac:dyDescent="0.25">
      <c r="B171" s="242"/>
      <c r="C171" s="24"/>
      <c r="D171" s="24">
        <f t="shared" si="11"/>
        <v>144</v>
      </c>
      <c r="E171" s="244">
        <f t="shared" si="13"/>
        <v>13191565.531075286</v>
      </c>
      <c r="F171" s="244">
        <f t="shared" si="14"/>
        <v>123029.91114924497</v>
      </c>
      <c r="G171" s="244">
        <f t="shared" si="15"/>
        <v>85043.585749711012</v>
      </c>
      <c r="H171" s="243">
        <f t="shared" si="12"/>
        <v>208073.49689895599</v>
      </c>
      <c r="I171" s="24"/>
      <c r="J171" s="241"/>
    </row>
    <row r="172" spans="2:10" x14ac:dyDescent="0.25">
      <c r="B172" s="242"/>
      <c r="C172" s="24"/>
      <c r="D172" s="24">
        <f t="shared" si="11"/>
        <v>145</v>
      </c>
      <c r="E172" s="244">
        <f t="shared" si="13"/>
        <v>13105733.874764293</v>
      </c>
      <c r="F172" s="244">
        <f t="shared" si="14"/>
        <v>122241.8405879643</v>
      </c>
      <c r="G172" s="244">
        <f t="shared" si="15"/>
        <v>85831.656310991631</v>
      </c>
      <c r="H172" s="243">
        <f t="shared" si="12"/>
        <v>208073.49689895593</v>
      </c>
      <c r="I172" s="24"/>
      <c r="J172" s="241"/>
    </row>
    <row r="173" spans="2:10" x14ac:dyDescent="0.25">
      <c r="B173" s="242"/>
      <c r="C173" s="24"/>
      <c r="D173" s="24">
        <f t="shared" si="11"/>
        <v>146</v>
      </c>
      <c r="E173" s="244">
        <f t="shared" si="13"/>
        <v>13019106.845104819</v>
      </c>
      <c r="F173" s="244">
        <f t="shared" si="14"/>
        <v>121446.46723948244</v>
      </c>
      <c r="G173" s="244">
        <f t="shared" si="15"/>
        <v>86627.029659473541</v>
      </c>
      <c r="H173" s="243">
        <f t="shared" si="12"/>
        <v>208073.49689895599</v>
      </c>
      <c r="I173" s="24"/>
      <c r="J173" s="241"/>
    </row>
    <row r="174" spans="2:10" x14ac:dyDescent="0.25">
      <c r="B174" s="242"/>
      <c r="C174" s="24"/>
      <c r="D174" s="24">
        <f t="shared" si="11"/>
        <v>147</v>
      </c>
      <c r="E174" s="244">
        <f t="shared" si="13"/>
        <v>12931677.071637169</v>
      </c>
      <c r="F174" s="244">
        <f t="shared" si="14"/>
        <v>120643.72343130466</v>
      </c>
      <c r="G174" s="244">
        <f t="shared" si="15"/>
        <v>87429.773467651292</v>
      </c>
      <c r="H174" s="243">
        <f t="shared" si="12"/>
        <v>208073.49689895596</v>
      </c>
      <c r="I174" s="24"/>
      <c r="J174" s="241"/>
    </row>
    <row r="175" spans="2:10" x14ac:dyDescent="0.25">
      <c r="B175" s="242"/>
      <c r="C175" s="24"/>
      <c r="D175" s="24">
        <f t="shared" ref="D175:D238" si="16">D174+1</f>
        <v>148</v>
      </c>
      <c r="E175" s="244">
        <f t="shared" si="13"/>
        <v>12843437.11560205</v>
      </c>
      <c r="F175" s="244">
        <f t="shared" si="14"/>
        <v>119833.54086383776</v>
      </c>
      <c r="G175" s="244">
        <f t="shared" si="15"/>
        <v>88239.956035118259</v>
      </c>
      <c r="H175" s="243">
        <f t="shared" ref="H175:H238" si="17">IF(D175&gt;$D$8,0,E174*($D$19/12/(1-(1+$D$19/12)^(-($D$8-D174)))))</f>
        <v>208073.49689895601</v>
      </c>
      <c r="I175" s="24"/>
      <c r="J175" s="241"/>
    </row>
    <row r="176" spans="2:10" x14ac:dyDescent="0.25">
      <c r="B176" s="242"/>
      <c r="C176" s="24"/>
      <c r="D176" s="24">
        <f t="shared" si="16"/>
        <v>149</v>
      </c>
      <c r="E176" s="244">
        <f t="shared" si="13"/>
        <v>12754379.469307672</v>
      </c>
      <c r="F176" s="244">
        <f t="shared" si="14"/>
        <v>119015.85060457898</v>
      </c>
      <c r="G176" s="244">
        <f t="shared" si="15"/>
        <v>89057.646294376973</v>
      </c>
      <c r="H176" s="243">
        <f t="shared" si="17"/>
        <v>208073.49689895596</v>
      </c>
      <c r="I176" s="24"/>
      <c r="J176" s="241"/>
    </row>
    <row r="177" spans="2:10" x14ac:dyDescent="0.25">
      <c r="B177" s="242"/>
      <c r="C177" s="24"/>
      <c r="D177" s="24">
        <f t="shared" si="16"/>
        <v>150</v>
      </c>
      <c r="E177" s="244">
        <f t="shared" si="13"/>
        <v>12664496.555490967</v>
      </c>
      <c r="F177" s="244">
        <f t="shared" si="14"/>
        <v>118190.58308225109</v>
      </c>
      <c r="G177" s="244">
        <f t="shared" si="15"/>
        <v>89882.913816704924</v>
      </c>
      <c r="H177" s="243">
        <f t="shared" si="17"/>
        <v>208073.49689895601</v>
      </c>
      <c r="I177" s="24"/>
      <c r="J177" s="241"/>
    </row>
    <row r="178" spans="2:10" x14ac:dyDescent="0.25">
      <c r="B178" s="242"/>
      <c r="C178" s="24"/>
      <c r="D178" s="24">
        <f t="shared" si="16"/>
        <v>151</v>
      </c>
      <c r="E178" s="244">
        <f t="shared" si="13"/>
        <v>12573780.726672893</v>
      </c>
      <c r="F178" s="244">
        <f t="shared" si="14"/>
        <v>117357.66808088294</v>
      </c>
      <c r="G178" s="244">
        <f t="shared" si="15"/>
        <v>90715.828818073045</v>
      </c>
      <c r="H178" s="243">
        <f t="shared" si="17"/>
        <v>208073.49689895599</v>
      </c>
      <c r="I178" s="24"/>
      <c r="J178" s="241"/>
    </row>
    <row r="179" spans="2:10" x14ac:dyDescent="0.25">
      <c r="B179" s="242"/>
      <c r="C179" s="24"/>
      <c r="D179" s="24">
        <f t="shared" si="16"/>
        <v>152</v>
      </c>
      <c r="E179" s="244">
        <f t="shared" si="13"/>
        <v>12482224.264507772</v>
      </c>
      <c r="F179" s="244">
        <f t="shared" si="14"/>
        <v>116517.03473383548</v>
      </c>
      <c r="G179" s="244">
        <f t="shared" si="15"/>
        <v>91556.462165120596</v>
      </c>
      <c r="H179" s="243">
        <f t="shared" si="17"/>
        <v>208073.49689895607</v>
      </c>
      <c r="I179" s="24"/>
      <c r="J179" s="241"/>
    </row>
    <row r="180" spans="2:10" x14ac:dyDescent="0.25">
      <c r="B180" s="242"/>
      <c r="C180" s="24"/>
      <c r="D180" s="24">
        <f t="shared" si="16"/>
        <v>153</v>
      </c>
      <c r="E180" s="244">
        <f t="shared" si="13"/>
        <v>12389819.379126588</v>
      </c>
      <c r="F180" s="244">
        <f t="shared" si="14"/>
        <v>115668.61151777202</v>
      </c>
      <c r="G180" s="244">
        <f t="shared" si="15"/>
        <v>92404.885381183994</v>
      </c>
      <c r="H180" s="243">
        <f t="shared" si="17"/>
        <v>208073.49689895601</v>
      </c>
      <c r="I180" s="24"/>
      <c r="J180" s="241"/>
    </row>
    <row r="181" spans="2:10" x14ac:dyDescent="0.25">
      <c r="B181" s="242"/>
      <c r="C181" s="24"/>
      <c r="D181" s="24">
        <f t="shared" si="16"/>
        <v>154</v>
      </c>
      <c r="E181" s="244">
        <f t="shared" si="13"/>
        <v>12296558.208474206</v>
      </c>
      <c r="F181" s="244">
        <f t="shared" si="14"/>
        <v>114812.32624657305</v>
      </c>
      <c r="G181" s="244">
        <f t="shared" si="15"/>
        <v>93261.170652382963</v>
      </c>
      <c r="H181" s="243">
        <f t="shared" si="17"/>
        <v>208073.49689895601</v>
      </c>
      <c r="I181" s="24"/>
      <c r="J181" s="241"/>
    </row>
    <row r="182" spans="2:10" x14ac:dyDescent="0.25">
      <c r="B182" s="242"/>
      <c r="C182" s="24"/>
      <c r="D182" s="24">
        <f t="shared" si="16"/>
        <v>155</v>
      </c>
      <c r="E182" s="244">
        <f t="shared" si="13"/>
        <v>12202432.817640444</v>
      </c>
      <c r="F182" s="244">
        <f t="shared" si="14"/>
        <v>113948.1060651943</v>
      </c>
      <c r="G182" s="244">
        <f t="shared" si="15"/>
        <v>94125.390833761834</v>
      </c>
      <c r="H182" s="243">
        <f t="shared" si="17"/>
        <v>208073.49689895613</v>
      </c>
      <c r="I182" s="24"/>
      <c r="J182" s="241"/>
    </row>
    <row r="183" spans="2:10" x14ac:dyDescent="0.25">
      <c r="B183" s="242"/>
      <c r="C183" s="24"/>
      <c r="D183" s="24">
        <f t="shared" si="16"/>
        <v>156</v>
      </c>
      <c r="E183" s="244">
        <f t="shared" si="13"/>
        <v>12107435.198184956</v>
      </c>
      <c r="F183" s="244">
        <f t="shared" si="14"/>
        <v>113075.8774434681</v>
      </c>
      <c r="G183" s="244">
        <f t="shared" si="15"/>
        <v>94997.619455488006</v>
      </c>
      <c r="H183" s="243">
        <f t="shared" si="17"/>
        <v>208073.4968989561</v>
      </c>
      <c r="I183" s="24"/>
      <c r="J183" s="241"/>
    </row>
    <row r="184" spans="2:10" x14ac:dyDescent="0.25">
      <c r="B184" s="242"/>
      <c r="C184" s="24"/>
      <c r="D184" s="24">
        <f t="shared" si="16"/>
        <v>157</v>
      </c>
      <c r="E184" s="244">
        <f t="shared" si="13"/>
        <v>12011557.267455846</v>
      </c>
      <c r="F184" s="244">
        <f t="shared" si="14"/>
        <v>112195.56616984725</v>
      </c>
      <c r="G184" s="244">
        <f t="shared" si="15"/>
        <v>95877.930729108877</v>
      </c>
      <c r="H184" s="243">
        <f t="shared" si="17"/>
        <v>208073.49689895613</v>
      </c>
      <c r="I184" s="24"/>
      <c r="J184" s="241"/>
    </row>
    <row r="185" spans="2:10" x14ac:dyDescent="0.25">
      <c r="B185" s="242"/>
      <c r="C185" s="24"/>
      <c r="D185" s="24">
        <f t="shared" si="16"/>
        <v>158</v>
      </c>
      <c r="E185" s="244">
        <f t="shared" si="13"/>
        <v>11914790.867901981</v>
      </c>
      <c r="F185" s="244">
        <f t="shared" si="14"/>
        <v>111307.09734509084</v>
      </c>
      <c r="G185" s="244">
        <f t="shared" si="15"/>
        <v>96766.399553865267</v>
      </c>
      <c r="H185" s="243">
        <f t="shared" si="17"/>
        <v>208073.4968989561</v>
      </c>
      <c r="I185" s="24"/>
      <c r="J185" s="241"/>
    </row>
    <row r="186" spans="2:10" x14ac:dyDescent="0.25">
      <c r="B186" s="242"/>
      <c r="C186" s="24"/>
      <c r="D186" s="24">
        <f t="shared" si="16"/>
        <v>159</v>
      </c>
      <c r="E186" s="244">
        <f t="shared" si="13"/>
        <v>11817127.766378917</v>
      </c>
      <c r="F186" s="244">
        <f t="shared" si="14"/>
        <v>110410.39537589169</v>
      </c>
      <c r="G186" s="244">
        <f t="shared" si="15"/>
        <v>97663.10152306447</v>
      </c>
      <c r="H186" s="243">
        <f t="shared" si="17"/>
        <v>208073.49689895616</v>
      </c>
      <c r="I186" s="24"/>
      <c r="J186" s="241"/>
    </row>
    <row r="187" spans="2:10" x14ac:dyDescent="0.25">
      <c r="B187" s="242"/>
      <c r="C187" s="24"/>
      <c r="D187" s="24">
        <f t="shared" si="16"/>
        <v>160</v>
      </c>
      <c r="E187" s="244">
        <f t="shared" si="13"/>
        <v>11718559.653448405</v>
      </c>
      <c r="F187" s="244">
        <f t="shared" si="14"/>
        <v>109505.38396844461</v>
      </c>
      <c r="G187" s="244">
        <f t="shared" si="15"/>
        <v>98568.112930511546</v>
      </c>
      <c r="H187" s="243">
        <f t="shared" si="17"/>
        <v>208073.49689895616</v>
      </c>
      <c r="I187" s="24"/>
      <c r="J187" s="241"/>
    </row>
    <row r="188" spans="2:10" x14ac:dyDescent="0.25">
      <c r="B188" s="242"/>
      <c r="C188" s="24"/>
      <c r="D188" s="24">
        <f t="shared" si="16"/>
        <v>161</v>
      </c>
      <c r="E188" s="244">
        <f t="shared" si="13"/>
        <v>11619078.142671404</v>
      </c>
      <c r="F188" s="244">
        <f t="shared" si="14"/>
        <v>108591.98612195521</v>
      </c>
      <c r="G188" s="244">
        <f t="shared" si="15"/>
        <v>99481.510777000978</v>
      </c>
      <c r="H188" s="243">
        <f t="shared" si="17"/>
        <v>208073.49689895619</v>
      </c>
      <c r="I188" s="24"/>
      <c r="J188" s="241"/>
    </row>
    <row r="189" spans="2:10" x14ac:dyDescent="0.25">
      <c r="B189" s="242"/>
      <c r="C189" s="24"/>
      <c r="D189" s="24">
        <f t="shared" si="16"/>
        <v>162</v>
      </c>
      <c r="E189" s="244">
        <f t="shared" si="13"/>
        <v>11518674.769894537</v>
      </c>
      <c r="F189" s="244">
        <f t="shared" si="14"/>
        <v>107670.12412208835</v>
      </c>
      <c r="G189" s="244">
        <f t="shared" si="15"/>
        <v>100403.37277686787</v>
      </c>
      <c r="H189" s="243">
        <f t="shared" si="17"/>
        <v>208073.49689895622</v>
      </c>
      <c r="I189" s="24"/>
      <c r="J189" s="241"/>
    </row>
    <row r="190" spans="2:10" x14ac:dyDescent="0.25">
      <c r="B190" s="242"/>
      <c r="C190" s="24"/>
      <c r="D190" s="24">
        <f t="shared" si="16"/>
        <v>163</v>
      </c>
      <c r="E190" s="244">
        <f t="shared" si="13"/>
        <v>11417340.992529936</v>
      </c>
      <c r="F190" s="244">
        <f t="shared" si="14"/>
        <v>106739.71953435603</v>
      </c>
      <c r="G190" s="244">
        <f t="shared" si="15"/>
        <v>101333.77736460016</v>
      </c>
      <c r="H190" s="243">
        <f t="shared" si="17"/>
        <v>208073.49689895619</v>
      </c>
      <c r="I190" s="24"/>
      <c r="J190" s="241"/>
    </row>
    <row r="191" spans="2:10" x14ac:dyDescent="0.25">
      <c r="B191" s="242"/>
      <c r="C191" s="24"/>
      <c r="D191" s="24">
        <f t="shared" si="16"/>
        <v>164</v>
      </c>
      <c r="E191" s="244">
        <f t="shared" si="13"/>
        <v>11315068.188828424</v>
      </c>
      <c r="F191" s="244">
        <f t="shared" si="14"/>
        <v>105800.69319744407</v>
      </c>
      <c r="G191" s="244">
        <f t="shared" si="15"/>
        <v>102272.80370151218</v>
      </c>
      <c r="H191" s="243">
        <f t="shared" si="17"/>
        <v>208073.49689895625</v>
      </c>
      <c r="I191" s="24"/>
      <c r="J191" s="241"/>
    </row>
    <row r="192" spans="2:10" x14ac:dyDescent="0.25">
      <c r="B192" s="242"/>
      <c r="C192" s="24"/>
      <c r="D192" s="24">
        <f t="shared" si="16"/>
        <v>165</v>
      </c>
      <c r="E192" s="244">
        <f t="shared" si="13"/>
        <v>11211847.657145943</v>
      </c>
      <c r="F192" s="244">
        <f t="shared" si="14"/>
        <v>104852.96521647672</v>
      </c>
      <c r="G192" s="244">
        <f t="shared" si="15"/>
        <v>103220.53168247956</v>
      </c>
      <c r="H192" s="243">
        <f t="shared" si="17"/>
        <v>208073.49689895628</v>
      </c>
      <c r="I192" s="24"/>
      <c r="J192" s="241"/>
    </row>
    <row r="193" spans="2:10" x14ac:dyDescent="0.25">
      <c r="B193" s="242"/>
      <c r="C193" s="24"/>
      <c r="D193" s="24">
        <f t="shared" si="16"/>
        <v>166</v>
      </c>
      <c r="E193" s="244">
        <f t="shared" si="13"/>
        <v>11107670.615203205</v>
      </c>
      <c r="F193" s="244">
        <f t="shared" si="14"/>
        <v>103896.45495621907</v>
      </c>
      <c r="G193" s="244">
        <f t="shared" si="15"/>
        <v>104177.04194273724</v>
      </c>
      <c r="H193" s="243">
        <f t="shared" si="17"/>
        <v>208073.49689895631</v>
      </c>
      <c r="I193" s="24"/>
      <c r="J193" s="241"/>
    </row>
    <row r="194" spans="2:10" x14ac:dyDescent="0.25">
      <c r="B194" s="242"/>
      <c r="C194" s="24"/>
      <c r="D194" s="24">
        <f t="shared" si="16"/>
        <v>167</v>
      </c>
      <c r="E194" s="244">
        <f t="shared" si="13"/>
        <v>11002528.199338466</v>
      </c>
      <c r="F194" s="244">
        <f t="shared" si="14"/>
        <v>102931.08103421637</v>
      </c>
      <c r="G194" s="244">
        <f t="shared" si="15"/>
        <v>105142.41586473993</v>
      </c>
      <c r="H194" s="243">
        <f t="shared" si="17"/>
        <v>208073.49689895631</v>
      </c>
      <c r="I194" s="24"/>
      <c r="J194" s="241"/>
    </row>
    <row r="195" spans="2:10" x14ac:dyDescent="0.25">
      <c r="B195" s="242"/>
      <c r="C195" s="24"/>
      <c r="D195" s="24">
        <f t="shared" si="16"/>
        <v>168</v>
      </c>
      <c r="E195" s="244">
        <f t="shared" si="13"/>
        <v>10896411.46375338</v>
      </c>
      <c r="F195" s="244">
        <f t="shared" si="14"/>
        <v>101956.76131386978</v>
      </c>
      <c r="G195" s="244">
        <f t="shared" si="15"/>
        <v>106116.73558508656</v>
      </c>
      <c r="H195" s="243">
        <f t="shared" si="17"/>
        <v>208073.49689895633</v>
      </c>
      <c r="I195" s="24"/>
      <c r="J195" s="241"/>
    </row>
    <row r="196" spans="2:10" x14ac:dyDescent="0.25">
      <c r="B196" s="242"/>
      <c r="C196" s="24"/>
      <c r="D196" s="24">
        <f t="shared" si="16"/>
        <v>169</v>
      </c>
      <c r="E196" s="244">
        <f t="shared" si="13"/>
        <v>10789311.379751872</v>
      </c>
      <c r="F196" s="244">
        <f t="shared" si="14"/>
        <v>100973.41289744798</v>
      </c>
      <c r="G196" s="244">
        <f t="shared" si="15"/>
        <v>107100.08400150835</v>
      </c>
      <c r="H196" s="243">
        <f t="shared" si="17"/>
        <v>208073.49689895633</v>
      </c>
      <c r="I196" s="24"/>
      <c r="J196" s="241"/>
    </row>
    <row r="197" spans="2:10" x14ac:dyDescent="0.25">
      <c r="B197" s="242"/>
      <c r="C197" s="24"/>
      <c r="D197" s="24">
        <f t="shared" si="16"/>
        <v>170</v>
      </c>
      <c r="E197" s="244">
        <f t="shared" si="13"/>
        <v>10681218.834971949</v>
      </c>
      <c r="F197" s="244">
        <f t="shared" si="14"/>
        <v>99980.952119034017</v>
      </c>
      <c r="G197" s="244">
        <f t="shared" si="15"/>
        <v>108092.54477992243</v>
      </c>
      <c r="H197" s="243">
        <f t="shared" si="17"/>
        <v>208073.49689895645</v>
      </c>
      <c r="I197" s="24"/>
      <c r="J197" s="241"/>
    </row>
    <row r="198" spans="2:10" x14ac:dyDescent="0.25">
      <c r="B198" s="242"/>
      <c r="C198" s="24"/>
      <c r="D198" s="24">
        <f t="shared" si="16"/>
        <v>171</v>
      </c>
      <c r="E198" s="244">
        <f t="shared" si="13"/>
        <v>10572124.632610399</v>
      </c>
      <c r="F198" s="244">
        <f t="shared" si="14"/>
        <v>98979.29453740672</v>
      </c>
      <c r="G198" s="244">
        <f t="shared" si="15"/>
        <v>109094.2023615497</v>
      </c>
      <c r="H198" s="243">
        <f t="shared" si="17"/>
        <v>208073.49689895642</v>
      </c>
      <c r="I198" s="24"/>
      <c r="J198" s="241"/>
    </row>
    <row r="199" spans="2:10" x14ac:dyDescent="0.25">
      <c r="B199" s="242"/>
      <c r="C199" s="24"/>
      <c r="D199" s="24">
        <f t="shared" si="16"/>
        <v>172</v>
      </c>
      <c r="E199" s="244">
        <f t="shared" si="13"/>
        <v>10462019.490640299</v>
      </c>
      <c r="F199" s="244">
        <f t="shared" si="14"/>
        <v>97968.354928856366</v>
      </c>
      <c r="G199" s="244">
        <f t="shared" si="15"/>
        <v>110105.14197010009</v>
      </c>
      <c r="H199" s="243">
        <f t="shared" si="17"/>
        <v>208073.49689895645</v>
      </c>
      <c r="I199" s="24"/>
      <c r="J199" s="241"/>
    </row>
    <row r="200" spans="2:10" x14ac:dyDescent="0.25">
      <c r="B200" s="242"/>
      <c r="C200" s="24"/>
      <c r="D200" s="24">
        <f t="shared" si="16"/>
        <v>173</v>
      </c>
      <c r="E200" s="244">
        <f t="shared" si="13"/>
        <v>10350894.041021276</v>
      </c>
      <c r="F200" s="244">
        <f t="shared" si="14"/>
        <v>96948.047279933424</v>
      </c>
      <c r="G200" s="244">
        <f t="shared" si="15"/>
        <v>111125.44961902303</v>
      </c>
      <c r="H200" s="243">
        <f t="shared" si="17"/>
        <v>208073.49689895645</v>
      </c>
      <c r="I200" s="24"/>
      <c r="J200" s="241"/>
    </row>
    <row r="201" spans="2:10" x14ac:dyDescent="0.25">
      <c r="B201" s="242"/>
      <c r="C201" s="24"/>
      <c r="D201" s="24">
        <f t="shared" si="16"/>
        <v>174</v>
      </c>
      <c r="E201" s="244">
        <f t="shared" si="13"/>
        <v>10238738.828902449</v>
      </c>
      <c r="F201" s="244">
        <f t="shared" si="14"/>
        <v>95918.284780130489</v>
      </c>
      <c r="G201" s="244">
        <f t="shared" si="15"/>
        <v>112155.21211882602</v>
      </c>
      <c r="H201" s="243">
        <f t="shared" si="17"/>
        <v>208073.49689895651</v>
      </c>
      <c r="I201" s="24"/>
      <c r="J201" s="241"/>
    </row>
    <row r="202" spans="2:10" x14ac:dyDescent="0.25">
      <c r="B202" s="242"/>
      <c r="C202" s="24"/>
      <c r="D202" s="24">
        <f t="shared" si="16"/>
        <v>175</v>
      </c>
      <c r="E202" s="244">
        <f t="shared" si="13"/>
        <v>10125544.311817989</v>
      </c>
      <c r="F202" s="244">
        <f t="shared" si="14"/>
        <v>94878.979814496022</v>
      </c>
      <c r="G202" s="244">
        <f t="shared" si="15"/>
        <v>113194.51708446049</v>
      </c>
      <c r="H202" s="243">
        <f t="shared" si="17"/>
        <v>208073.49689895651</v>
      </c>
      <c r="I202" s="24"/>
      <c r="J202" s="241"/>
    </row>
    <row r="203" spans="2:10" x14ac:dyDescent="0.25">
      <c r="B203" s="242"/>
      <c r="C203" s="24"/>
      <c r="D203" s="24">
        <f t="shared" si="16"/>
        <v>176</v>
      </c>
      <c r="E203" s="244">
        <f t="shared" si="13"/>
        <v>10011300.858875211</v>
      </c>
      <c r="F203" s="244">
        <f t="shared" si="14"/>
        <v>93830.04395618003</v>
      </c>
      <c r="G203" s="244">
        <f t="shared" si="15"/>
        <v>114243.45294277651</v>
      </c>
      <c r="H203" s="243">
        <f t="shared" si="17"/>
        <v>208073.49689895654</v>
      </c>
      <c r="I203" s="24"/>
      <c r="J203" s="241"/>
    </row>
    <row r="204" spans="2:10" x14ac:dyDescent="0.25">
      <c r="B204" s="242"/>
      <c r="C204" s="24"/>
      <c r="D204" s="24">
        <f t="shared" si="16"/>
        <v>177</v>
      </c>
      <c r="E204" s="244">
        <f t="shared" si="13"/>
        <v>9895998.749935165</v>
      </c>
      <c r="F204" s="244">
        <f t="shared" si="14"/>
        <v>92771.387958910273</v>
      </c>
      <c r="G204" s="244">
        <f t="shared" si="15"/>
        <v>115302.1089400463</v>
      </c>
      <c r="H204" s="243">
        <f t="shared" si="17"/>
        <v>208073.49689895657</v>
      </c>
      <c r="I204" s="24"/>
      <c r="J204" s="241"/>
    </row>
    <row r="205" spans="2:10" x14ac:dyDescent="0.25">
      <c r="B205" s="242"/>
      <c r="C205" s="24"/>
      <c r="D205" s="24">
        <f t="shared" si="16"/>
        <v>178</v>
      </c>
      <c r="E205" s="244">
        <f t="shared" si="13"/>
        <v>9779628.1747856084</v>
      </c>
      <c r="F205" s="244">
        <f t="shared" si="14"/>
        <v>91702.921749399204</v>
      </c>
      <c r="G205" s="244">
        <f t="shared" si="15"/>
        <v>116370.57514955736</v>
      </c>
      <c r="H205" s="243">
        <f t="shared" si="17"/>
        <v>208073.49689895657</v>
      </c>
      <c r="I205" s="24"/>
      <c r="J205" s="241"/>
    </row>
    <row r="206" spans="2:10" x14ac:dyDescent="0.25">
      <c r="B206" s="242"/>
      <c r="C206" s="24"/>
      <c r="D206" s="24">
        <f t="shared" si="16"/>
        <v>179</v>
      </c>
      <c r="E206" s="244">
        <f t="shared" si="13"/>
        <v>9662179.2323063314</v>
      </c>
      <c r="F206" s="244">
        <f t="shared" si="14"/>
        <v>90624.554419679975</v>
      </c>
      <c r="G206" s="244">
        <f t="shared" si="15"/>
        <v>117448.94247927665</v>
      </c>
      <c r="H206" s="243">
        <f t="shared" si="17"/>
        <v>208073.49689895663</v>
      </c>
      <c r="I206" s="24"/>
      <c r="J206" s="241"/>
    </row>
    <row r="207" spans="2:10" x14ac:dyDescent="0.25">
      <c r="B207" s="242"/>
      <c r="C207" s="24"/>
      <c r="D207" s="24">
        <f t="shared" si="16"/>
        <v>180</v>
      </c>
      <c r="E207" s="244">
        <f t="shared" si="13"/>
        <v>9543641.9296267461</v>
      </c>
      <c r="F207" s="244">
        <f t="shared" si="14"/>
        <v>89536.194219372002</v>
      </c>
      <c r="G207" s="244">
        <f t="shared" si="15"/>
        <v>118537.30267958465</v>
      </c>
      <c r="H207" s="243">
        <f t="shared" si="17"/>
        <v>208073.49689895666</v>
      </c>
      <c r="I207" s="24"/>
      <c r="J207" s="241"/>
    </row>
    <row r="208" spans="2:10" x14ac:dyDescent="0.25">
      <c r="B208" s="242"/>
      <c r="C208" s="24"/>
      <c r="D208" s="24">
        <f t="shared" si="16"/>
        <v>181</v>
      </c>
      <c r="E208" s="244">
        <f t="shared" si="13"/>
        <v>9424006.1812756639</v>
      </c>
      <c r="F208" s="244">
        <f t="shared" si="14"/>
        <v>88437.748547874507</v>
      </c>
      <c r="G208" s="244">
        <f t="shared" si="15"/>
        <v>119635.74835108209</v>
      </c>
      <c r="H208" s="243">
        <f t="shared" si="17"/>
        <v>208073.4968989566</v>
      </c>
      <c r="I208" s="24"/>
      <c r="J208" s="241"/>
    </row>
    <row r="209" spans="2:10" x14ac:dyDescent="0.25">
      <c r="B209" s="242"/>
      <c r="C209" s="24"/>
      <c r="D209" s="24">
        <f t="shared" si="16"/>
        <v>182</v>
      </c>
      <c r="E209" s="244">
        <f t="shared" si="13"/>
        <v>9303261.8083231952</v>
      </c>
      <c r="F209" s="244">
        <f t="shared" si="14"/>
        <v>87329.123946487816</v>
      </c>
      <c r="G209" s="244">
        <f t="shared" si="15"/>
        <v>120744.37295246887</v>
      </c>
      <c r="H209" s="243">
        <f t="shared" si="17"/>
        <v>208073.49689895668</v>
      </c>
      <c r="I209" s="24"/>
      <c r="J209" s="241"/>
    </row>
    <row r="210" spans="2:10" x14ac:dyDescent="0.25">
      <c r="B210" s="242"/>
      <c r="C210" s="24"/>
      <c r="D210" s="24">
        <f t="shared" si="16"/>
        <v>183</v>
      </c>
      <c r="E210" s="244">
        <f t="shared" si="13"/>
        <v>9181398.5375146996</v>
      </c>
      <c r="F210" s="244">
        <f t="shared" si="14"/>
        <v>86210.226090461612</v>
      </c>
      <c r="G210" s="244">
        <f t="shared" si="15"/>
        <v>121863.2708084951</v>
      </c>
      <c r="H210" s="243">
        <f t="shared" si="17"/>
        <v>208073.49689895671</v>
      </c>
      <c r="I210" s="24"/>
      <c r="J210" s="241"/>
    </row>
    <row r="211" spans="2:10" x14ac:dyDescent="0.25">
      <c r="B211" s="242"/>
      <c r="C211" s="24"/>
      <c r="D211" s="24">
        <f t="shared" si="16"/>
        <v>184</v>
      </c>
      <c r="E211" s="244">
        <f t="shared" si="13"/>
        <v>9058406.0003967118</v>
      </c>
      <c r="F211" s="244">
        <f t="shared" si="14"/>
        <v>85080.959780969541</v>
      </c>
      <c r="G211" s="244">
        <f t="shared" si="15"/>
        <v>122992.53711798723</v>
      </c>
      <c r="H211" s="243">
        <f t="shared" si="17"/>
        <v>208073.49689895677</v>
      </c>
      <c r="I211" s="24"/>
      <c r="J211" s="241"/>
    </row>
    <row r="212" spans="2:10" x14ac:dyDescent="0.25">
      <c r="B212" s="242"/>
      <c r="C212" s="24"/>
      <c r="D212" s="24">
        <f t="shared" si="16"/>
        <v>185</v>
      </c>
      <c r="E212" s="244">
        <f t="shared" si="13"/>
        <v>8934273.7324347645</v>
      </c>
      <c r="F212" s="244">
        <f t="shared" si="14"/>
        <v>83941.228937009524</v>
      </c>
      <c r="G212" s="244">
        <f t="shared" si="15"/>
        <v>124132.26796194719</v>
      </c>
      <c r="H212" s="243">
        <f t="shared" si="17"/>
        <v>208073.49689895671</v>
      </c>
      <c r="I212" s="24"/>
      <c r="J212" s="241"/>
    </row>
    <row r="213" spans="2:10" x14ac:dyDescent="0.25">
      <c r="B213" s="242"/>
      <c r="C213" s="24"/>
      <c r="D213" s="24">
        <f t="shared" si="16"/>
        <v>186</v>
      </c>
      <c r="E213" s="244">
        <f t="shared" si="13"/>
        <v>8808991.1721230373</v>
      </c>
      <c r="F213" s="244">
        <f t="shared" si="14"/>
        <v>82790.936587228804</v>
      </c>
      <c r="G213" s="244">
        <f t="shared" si="15"/>
        <v>125282.56031172797</v>
      </c>
      <c r="H213" s="243">
        <f t="shared" si="17"/>
        <v>208073.49689895677</v>
      </c>
      <c r="I213" s="24"/>
      <c r="J213" s="241"/>
    </row>
    <row r="214" spans="2:10" x14ac:dyDescent="0.25">
      <c r="B214" s="242"/>
      <c r="C214" s="24"/>
      <c r="D214" s="24">
        <f t="shared" si="16"/>
        <v>187</v>
      </c>
      <c r="E214" s="244">
        <f t="shared" si="13"/>
        <v>8682547.6600857545</v>
      </c>
      <c r="F214" s="244">
        <f t="shared" si="14"/>
        <v>81629.984861673482</v>
      </c>
      <c r="G214" s="244">
        <f t="shared" si="15"/>
        <v>126443.51203728335</v>
      </c>
      <c r="H214" s="243">
        <f t="shared" si="17"/>
        <v>208073.49689895683</v>
      </c>
      <c r="I214" s="24"/>
      <c r="J214" s="241"/>
    </row>
    <row r="215" spans="2:10" x14ac:dyDescent="0.25">
      <c r="B215" s="242"/>
      <c r="C215" s="24"/>
      <c r="D215" s="24">
        <f t="shared" si="16"/>
        <v>188</v>
      </c>
      <c r="E215" s="244">
        <f t="shared" si="13"/>
        <v>8554932.4381702598</v>
      </c>
      <c r="F215" s="244">
        <f t="shared" si="14"/>
        <v>80458.274983461321</v>
      </c>
      <c r="G215" s="244">
        <f t="shared" si="15"/>
        <v>127615.22191549551</v>
      </c>
      <c r="H215" s="243">
        <f t="shared" si="17"/>
        <v>208073.49689895683</v>
      </c>
      <c r="I215" s="24"/>
      <c r="J215" s="241"/>
    </row>
    <row r="216" spans="2:10" x14ac:dyDescent="0.25">
      <c r="B216" s="242"/>
      <c r="C216" s="24"/>
      <c r="D216" s="24">
        <f t="shared" si="16"/>
        <v>189</v>
      </c>
      <c r="E216" s="244">
        <f t="shared" si="13"/>
        <v>8426134.6485316809</v>
      </c>
      <c r="F216" s="244">
        <f t="shared" si="14"/>
        <v>79275.707260377734</v>
      </c>
      <c r="G216" s="244">
        <f t="shared" si="15"/>
        <v>128797.78963857924</v>
      </c>
      <c r="H216" s="243">
        <f t="shared" si="17"/>
        <v>208073.49689895698</v>
      </c>
      <c r="I216" s="24"/>
      <c r="J216" s="241"/>
    </row>
    <row r="217" spans="2:10" x14ac:dyDescent="0.25">
      <c r="B217" s="242"/>
      <c r="C217" s="24"/>
      <c r="D217" s="24">
        <f t="shared" si="16"/>
        <v>190</v>
      </c>
      <c r="E217" s="244">
        <f t="shared" si="13"/>
        <v>8296143.3327091178</v>
      </c>
      <c r="F217" s="244">
        <f t="shared" si="14"/>
        <v>78082.181076393565</v>
      </c>
      <c r="G217" s="244">
        <f t="shared" si="15"/>
        <v>129991.31582256335</v>
      </c>
      <c r="H217" s="243">
        <f t="shared" si="17"/>
        <v>208073.49689895692</v>
      </c>
      <c r="I217" s="24"/>
      <c r="J217" s="241"/>
    </row>
    <row r="218" spans="2:10" x14ac:dyDescent="0.25">
      <c r="B218" s="242"/>
      <c r="C218" s="24"/>
      <c r="D218" s="24">
        <f t="shared" si="16"/>
        <v>191</v>
      </c>
      <c r="E218" s="244">
        <f t="shared" si="13"/>
        <v>8164947.4306932651</v>
      </c>
      <c r="F218" s="244">
        <f t="shared" si="14"/>
        <v>76877.594883104481</v>
      </c>
      <c r="G218" s="244">
        <f t="shared" si="15"/>
        <v>131195.90201585263</v>
      </c>
      <c r="H218" s="243">
        <f t="shared" si="17"/>
        <v>208073.49689895709</v>
      </c>
      <c r="I218" s="24"/>
      <c r="J218" s="241"/>
    </row>
    <row r="219" spans="2:10" x14ac:dyDescent="0.25">
      <c r="B219" s="242"/>
      <c r="C219" s="24"/>
      <c r="D219" s="24">
        <f t="shared" si="16"/>
        <v>192</v>
      </c>
      <c r="E219" s="244">
        <f t="shared" si="13"/>
        <v>8032535.779985399</v>
      </c>
      <c r="F219" s="244">
        <f t="shared" si="14"/>
        <v>75661.846191090925</v>
      </c>
      <c r="G219" s="244">
        <f t="shared" si="15"/>
        <v>132411.65070786612</v>
      </c>
      <c r="H219" s="243">
        <f t="shared" si="17"/>
        <v>208073.49689895706</v>
      </c>
      <c r="I219" s="24"/>
      <c r="J219" s="241"/>
    </row>
    <row r="220" spans="2:10" x14ac:dyDescent="0.25">
      <c r="B220" s="242"/>
      <c r="C220" s="24"/>
      <c r="D220" s="24">
        <f t="shared" si="16"/>
        <v>193</v>
      </c>
      <c r="E220" s="244">
        <f t="shared" si="13"/>
        <v>7898897.1146476399</v>
      </c>
      <c r="F220" s="244">
        <f t="shared" si="14"/>
        <v>74434.831561198022</v>
      </c>
      <c r="G220" s="244">
        <f t="shared" si="15"/>
        <v>133638.6653377591</v>
      </c>
      <c r="H220" s="243">
        <f t="shared" si="17"/>
        <v>208073.49689895712</v>
      </c>
      <c r="I220" s="24"/>
      <c r="J220" s="241"/>
    </row>
    <row r="221" spans="2:10" x14ac:dyDescent="0.25">
      <c r="B221" s="242"/>
      <c r="C221" s="24"/>
      <c r="D221" s="24">
        <f t="shared" si="16"/>
        <v>194</v>
      </c>
      <c r="E221" s="244">
        <f t="shared" ref="E221:E284" si="18">MAX(E220-G221,0)</f>
        <v>7764020.0643444173</v>
      </c>
      <c r="F221" s="244">
        <f t="shared" ref="F221:F284" si="19">MAX(E220*$D$19/12,0)</f>
        <v>73196.446595734786</v>
      </c>
      <c r="G221" s="244">
        <f t="shared" ref="G221:G284" si="20">H221-F221</f>
        <v>134877.05030322238</v>
      </c>
      <c r="H221" s="243">
        <f t="shared" si="17"/>
        <v>208073.49689895715</v>
      </c>
      <c r="I221" s="24"/>
      <c r="J221" s="241"/>
    </row>
    <row r="222" spans="2:10" x14ac:dyDescent="0.25">
      <c r="B222" s="242"/>
      <c r="C222" s="24"/>
      <c r="D222" s="24">
        <f t="shared" si="16"/>
        <v>195</v>
      </c>
      <c r="E222" s="244">
        <f t="shared" si="18"/>
        <v>7627893.1533750519</v>
      </c>
      <c r="F222" s="244">
        <f t="shared" si="19"/>
        <v>71946.585929591602</v>
      </c>
      <c r="G222" s="244">
        <f t="shared" si="20"/>
        <v>136126.91096936556</v>
      </c>
      <c r="H222" s="243">
        <f t="shared" si="17"/>
        <v>208073.49689895715</v>
      </c>
      <c r="I222" s="24"/>
      <c r="J222" s="241"/>
    </row>
    <row r="223" spans="2:10" x14ac:dyDescent="0.25">
      <c r="B223" s="242"/>
      <c r="C223" s="24"/>
      <c r="D223" s="24">
        <f t="shared" si="16"/>
        <v>196</v>
      </c>
      <c r="E223" s="244">
        <f t="shared" si="18"/>
        <v>7490504.7996973703</v>
      </c>
      <c r="F223" s="244">
        <f t="shared" si="19"/>
        <v>70685.143221275473</v>
      </c>
      <c r="G223" s="244">
        <f t="shared" si="20"/>
        <v>137388.35367768176</v>
      </c>
      <c r="H223" s="243">
        <f t="shared" si="17"/>
        <v>208073.49689895724</v>
      </c>
      <c r="I223" s="24"/>
      <c r="J223" s="241"/>
    </row>
    <row r="224" spans="2:10" x14ac:dyDescent="0.25">
      <c r="B224" s="242"/>
      <c r="C224" s="24"/>
      <c r="D224" s="24">
        <f t="shared" si="16"/>
        <v>197</v>
      </c>
      <c r="E224" s="244">
        <f t="shared" si="18"/>
        <v>7351843.313942275</v>
      </c>
      <c r="F224" s="244">
        <f t="shared" si="19"/>
        <v>69412.011143862284</v>
      </c>
      <c r="G224" s="244">
        <f t="shared" si="20"/>
        <v>138661.48575509497</v>
      </c>
      <c r="H224" s="243">
        <f t="shared" si="17"/>
        <v>208073.49689895724</v>
      </c>
      <c r="I224" s="24"/>
      <c r="J224" s="241"/>
    </row>
    <row r="225" spans="2:10" x14ac:dyDescent="0.25">
      <c r="B225" s="242"/>
      <c r="C225" s="24"/>
      <c r="D225" s="24">
        <f t="shared" si="16"/>
        <v>198</v>
      </c>
      <c r="E225" s="244">
        <f t="shared" si="18"/>
        <v>7211896.8984191827</v>
      </c>
      <c r="F225" s="244">
        <f t="shared" si="19"/>
        <v>68127.081375865077</v>
      </c>
      <c r="G225" s="244">
        <f t="shared" si="20"/>
        <v>139946.41552309226</v>
      </c>
      <c r="H225" s="243">
        <f t="shared" si="17"/>
        <v>208073.49689895735</v>
      </c>
      <c r="I225" s="24"/>
      <c r="J225" s="241"/>
    </row>
    <row r="226" spans="2:10" x14ac:dyDescent="0.25">
      <c r="B226" s="242"/>
      <c r="C226" s="24"/>
      <c r="D226" s="24">
        <f t="shared" si="16"/>
        <v>199</v>
      </c>
      <c r="E226" s="244">
        <f t="shared" si="18"/>
        <v>7070653.6461122427</v>
      </c>
      <c r="F226" s="244">
        <f t="shared" si="19"/>
        <v>66830.244592017756</v>
      </c>
      <c r="G226" s="244">
        <f t="shared" si="20"/>
        <v>141243.25230693966</v>
      </c>
      <c r="H226" s="243">
        <f t="shared" si="17"/>
        <v>208073.49689895741</v>
      </c>
      <c r="I226" s="24"/>
      <c r="J226" s="241"/>
    </row>
    <row r="227" spans="2:10" x14ac:dyDescent="0.25">
      <c r="B227" s="242"/>
      <c r="C227" s="24"/>
      <c r="D227" s="24">
        <f t="shared" si="16"/>
        <v>200</v>
      </c>
      <c r="E227" s="244">
        <f t="shared" si="18"/>
        <v>6928101.539667259</v>
      </c>
      <c r="F227" s="244">
        <f t="shared" si="19"/>
        <v>65521.390453973443</v>
      </c>
      <c r="G227" s="244">
        <f t="shared" si="20"/>
        <v>142552.10644498395</v>
      </c>
      <c r="H227" s="243">
        <f t="shared" si="17"/>
        <v>208073.49689895738</v>
      </c>
      <c r="I227" s="24"/>
      <c r="J227" s="241"/>
    </row>
    <row r="228" spans="2:10" x14ac:dyDescent="0.25">
      <c r="B228" s="242"/>
      <c r="C228" s="24"/>
      <c r="D228" s="24">
        <f t="shared" si="16"/>
        <v>201</v>
      </c>
      <c r="E228" s="244">
        <f t="shared" si="18"/>
        <v>6784228.4503692184</v>
      </c>
      <c r="F228" s="244">
        <f t="shared" si="19"/>
        <v>64200.407600916595</v>
      </c>
      <c r="G228" s="244">
        <f t="shared" si="20"/>
        <v>143873.08929804078</v>
      </c>
      <c r="H228" s="243">
        <f t="shared" si="17"/>
        <v>208073.49689895738</v>
      </c>
      <c r="I228" s="24"/>
      <c r="J228" s="241"/>
    </row>
    <row r="229" spans="2:10" x14ac:dyDescent="0.25">
      <c r="B229" s="242"/>
      <c r="C229" s="24"/>
      <c r="D229" s="24">
        <f t="shared" si="16"/>
        <v>202</v>
      </c>
      <c r="E229" s="244">
        <f t="shared" si="18"/>
        <v>6639022.1371103488</v>
      </c>
      <c r="F229" s="244">
        <f t="shared" si="19"/>
        <v>62867.183640088093</v>
      </c>
      <c r="G229" s="244">
        <f t="shared" si="20"/>
        <v>145206.31325886949</v>
      </c>
      <c r="H229" s="243">
        <f t="shared" si="17"/>
        <v>208073.49689895759</v>
      </c>
      <c r="I229" s="24"/>
      <c r="J229" s="241"/>
    </row>
    <row r="230" spans="2:10" x14ac:dyDescent="0.25">
      <c r="B230" s="242"/>
      <c r="C230" s="24"/>
      <c r="D230" s="24">
        <f t="shared" si="16"/>
        <v>203</v>
      </c>
      <c r="E230" s="244">
        <f t="shared" si="18"/>
        <v>6492470.2453486137</v>
      </c>
      <c r="F230" s="244">
        <f t="shared" si="19"/>
        <v>61521.605137222563</v>
      </c>
      <c r="G230" s="244">
        <f t="shared" si="20"/>
        <v>146551.89176173497</v>
      </c>
      <c r="H230" s="243">
        <f t="shared" si="17"/>
        <v>208073.49689895753</v>
      </c>
      <c r="I230" s="24"/>
      <c r="J230" s="241"/>
    </row>
    <row r="231" spans="2:10" x14ac:dyDescent="0.25">
      <c r="B231" s="242"/>
      <c r="C231" s="24"/>
      <c r="D231" s="24">
        <f t="shared" si="16"/>
        <v>204</v>
      </c>
      <c r="E231" s="244">
        <f t="shared" si="18"/>
        <v>6344560.3060565535</v>
      </c>
      <c r="F231" s="244">
        <f t="shared" si="19"/>
        <v>60163.55760689715</v>
      </c>
      <c r="G231" s="244">
        <f t="shared" si="20"/>
        <v>147909.93929206053</v>
      </c>
      <c r="H231" s="243">
        <f t="shared" si="17"/>
        <v>208073.49689895767</v>
      </c>
      <c r="I231" s="24"/>
      <c r="J231" s="241"/>
    </row>
    <row r="232" spans="2:10" x14ac:dyDescent="0.25">
      <c r="B232" s="242"/>
      <c r="C232" s="24"/>
      <c r="D232" s="24">
        <f t="shared" si="16"/>
        <v>205</v>
      </c>
      <c r="E232" s="244">
        <f t="shared" si="18"/>
        <v>6195279.7346603861</v>
      </c>
      <c r="F232" s="244">
        <f t="shared" si="19"/>
        <v>58792.925502790727</v>
      </c>
      <c r="G232" s="244">
        <f t="shared" si="20"/>
        <v>149280.57139616701</v>
      </c>
      <c r="H232" s="243">
        <f t="shared" si="17"/>
        <v>208073.49689895773</v>
      </c>
      <c r="I232" s="24"/>
      <c r="J232" s="241"/>
    </row>
    <row r="233" spans="2:10" x14ac:dyDescent="0.25">
      <c r="B233" s="242"/>
      <c r="C233" s="24"/>
      <c r="D233" s="24">
        <f t="shared" si="16"/>
        <v>206</v>
      </c>
      <c r="E233" s="244">
        <f t="shared" si="18"/>
        <v>6044615.8299692813</v>
      </c>
      <c r="F233" s="244">
        <f t="shared" si="19"/>
        <v>57409.592207852904</v>
      </c>
      <c r="G233" s="244">
        <f t="shared" si="20"/>
        <v>150663.90469110478</v>
      </c>
      <c r="H233" s="243">
        <f t="shared" si="17"/>
        <v>208073.49689895767</v>
      </c>
      <c r="I233" s="24"/>
      <c r="J233" s="241"/>
    </row>
    <row r="234" spans="2:10" x14ac:dyDescent="0.25">
      <c r="B234" s="242"/>
      <c r="C234" s="24"/>
      <c r="D234" s="24">
        <f t="shared" si="16"/>
        <v>207</v>
      </c>
      <c r="E234" s="244">
        <f t="shared" si="18"/>
        <v>5892555.7730947053</v>
      </c>
      <c r="F234" s="244">
        <f t="shared" si="19"/>
        <v>56013.440024382006</v>
      </c>
      <c r="G234" s="244">
        <f t="shared" si="20"/>
        <v>152060.05687457585</v>
      </c>
      <c r="H234" s="243">
        <f t="shared" si="17"/>
        <v>208073.49689895785</v>
      </c>
      <c r="I234" s="24"/>
      <c r="J234" s="241"/>
    </row>
    <row r="235" spans="2:10" x14ac:dyDescent="0.25">
      <c r="B235" s="242"/>
      <c r="C235" s="24"/>
      <c r="D235" s="24">
        <f t="shared" si="16"/>
        <v>208</v>
      </c>
      <c r="E235" s="244">
        <f t="shared" si="18"/>
        <v>5739086.626359758</v>
      </c>
      <c r="F235" s="244">
        <f t="shared" si="19"/>
        <v>54604.350164010939</v>
      </c>
      <c r="G235" s="244">
        <f t="shared" si="20"/>
        <v>153469.1467349469</v>
      </c>
      <c r="H235" s="243">
        <f t="shared" si="17"/>
        <v>208073.49689895785</v>
      </c>
      <c r="I235" s="24"/>
      <c r="J235" s="241"/>
    </row>
    <row r="236" spans="2:10" x14ac:dyDescent="0.25">
      <c r="B236" s="242"/>
      <c r="C236" s="24"/>
      <c r="D236" s="24">
        <f t="shared" si="16"/>
        <v>209</v>
      </c>
      <c r="E236" s="244">
        <f t="shared" si="18"/>
        <v>5584195.3321984001</v>
      </c>
      <c r="F236" s="244">
        <f t="shared" si="19"/>
        <v>53182.202737600419</v>
      </c>
      <c r="G236" s="244">
        <f t="shared" si="20"/>
        <v>154891.29416135751</v>
      </c>
      <c r="H236" s="243">
        <f t="shared" si="17"/>
        <v>208073.49689895794</v>
      </c>
      <c r="I236" s="24"/>
      <c r="J236" s="241"/>
    </row>
    <row r="237" spans="2:10" x14ac:dyDescent="0.25">
      <c r="B237" s="242"/>
      <c r="C237" s="24"/>
      <c r="D237" s="24">
        <f t="shared" si="16"/>
        <v>210</v>
      </c>
      <c r="E237" s="244">
        <f t="shared" si="18"/>
        <v>5427868.7120444803</v>
      </c>
      <c r="F237" s="244">
        <f t="shared" si="19"/>
        <v>51746.876745038498</v>
      </c>
      <c r="G237" s="244">
        <f t="shared" si="20"/>
        <v>156326.62015391956</v>
      </c>
      <c r="H237" s="243">
        <f t="shared" si="17"/>
        <v>208073.49689895805</v>
      </c>
      <c r="I237" s="24"/>
      <c r="J237" s="241"/>
    </row>
    <row r="238" spans="2:10" x14ac:dyDescent="0.25">
      <c r="B238" s="242"/>
      <c r="C238" s="24"/>
      <c r="D238" s="24">
        <f t="shared" si="16"/>
        <v>211</v>
      </c>
      <c r="E238" s="244">
        <f t="shared" si="18"/>
        <v>5270093.4652104676</v>
      </c>
      <c r="F238" s="244">
        <f t="shared" si="19"/>
        <v>50298.250064945518</v>
      </c>
      <c r="G238" s="244">
        <f t="shared" si="20"/>
        <v>157775.24683401253</v>
      </c>
      <c r="H238" s="243">
        <f t="shared" si="17"/>
        <v>208073.49689895805</v>
      </c>
      <c r="I238" s="24"/>
      <c r="J238" s="241"/>
    </row>
    <row r="239" spans="2:10" x14ac:dyDescent="0.25">
      <c r="B239" s="242"/>
      <c r="C239" s="24"/>
      <c r="D239" s="24">
        <f t="shared" ref="D239:D262" si="21">D238+1</f>
        <v>212</v>
      </c>
      <c r="E239" s="244">
        <f t="shared" si="18"/>
        <v>5110856.1677557928</v>
      </c>
      <c r="F239" s="244">
        <f t="shared" si="19"/>
        <v>48836.199444283666</v>
      </c>
      <c r="G239" s="244">
        <f t="shared" si="20"/>
        <v>159237.29745467452</v>
      </c>
      <c r="H239" s="243">
        <f t="shared" ref="H239:H262" si="22">IF(D239&gt;$D$8,0,E238*($D$19/12/(1-(1+$D$19/12)^(-($D$8-D238)))))</f>
        <v>208073.4968989582</v>
      </c>
      <c r="I239" s="24"/>
      <c r="J239" s="241"/>
    </row>
    <row r="240" spans="2:10" x14ac:dyDescent="0.25">
      <c r="B240" s="242"/>
      <c r="C240" s="24"/>
      <c r="D240" s="24">
        <f t="shared" si="21"/>
        <v>213</v>
      </c>
      <c r="E240" s="244">
        <f t="shared" si="18"/>
        <v>4950143.2713447055</v>
      </c>
      <c r="F240" s="244">
        <f t="shared" si="19"/>
        <v>47360.600487870346</v>
      </c>
      <c r="G240" s="244">
        <f t="shared" si="20"/>
        <v>160712.8964110878</v>
      </c>
      <c r="H240" s="243">
        <f t="shared" si="22"/>
        <v>208073.49689895814</v>
      </c>
      <c r="I240" s="24"/>
      <c r="J240" s="241"/>
    </row>
    <row r="241" spans="2:10" x14ac:dyDescent="0.25">
      <c r="B241" s="242"/>
      <c r="C241" s="24"/>
      <c r="D241" s="24">
        <f t="shared" si="21"/>
        <v>214</v>
      </c>
      <c r="E241" s="244">
        <f t="shared" si="18"/>
        <v>4787941.1020935411</v>
      </c>
      <c r="F241" s="244">
        <f t="shared" si="19"/>
        <v>45871.327647794271</v>
      </c>
      <c r="G241" s="244">
        <f t="shared" si="20"/>
        <v>162202.16925116401</v>
      </c>
      <c r="H241" s="243">
        <f t="shared" si="22"/>
        <v>208073.49689895828</v>
      </c>
      <c r="I241" s="24"/>
      <c r="J241" s="241"/>
    </row>
    <row r="242" spans="2:10" x14ac:dyDescent="0.25">
      <c r="B242" s="242"/>
      <c r="C242" s="24"/>
      <c r="D242" s="24">
        <f t="shared" si="21"/>
        <v>215</v>
      </c>
      <c r="E242" s="244">
        <f t="shared" si="18"/>
        <v>4624235.859407316</v>
      </c>
      <c r="F242" s="244">
        <f t="shared" si="19"/>
        <v>44368.254212733475</v>
      </c>
      <c r="G242" s="244">
        <f t="shared" si="20"/>
        <v>163705.24268622484</v>
      </c>
      <c r="H242" s="243">
        <f t="shared" si="22"/>
        <v>208073.49689895831</v>
      </c>
      <c r="I242" s="24"/>
      <c r="J242" s="241"/>
    </row>
    <row r="243" spans="2:10" x14ac:dyDescent="0.25">
      <c r="B243" s="242"/>
      <c r="C243" s="24"/>
      <c r="D243" s="24">
        <f t="shared" si="21"/>
        <v>216</v>
      </c>
      <c r="E243" s="244">
        <f t="shared" si="18"/>
        <v>4459013.6148055317</v>
      </c>
      <c r="F243" s="244">
        <f t="shared" si="19"/>
        <v>42851.252297174455</v>
      </c>
      <c r="G243" s="244">
        <f t="shared" si="20"/>
        <v>165222.24460178392</v>
      </c>
      <c r="H243" s="243">
        <f t="shared" si="22"/>
        <v>208073.49689895837</v>
      </c>
      <c r="I243" s="24"/>
      <c r="J243" s="241"/>
    </row>
    <row r="244" spans="2:10" x14ac:dyDescent="0.25">
      <c r="B244" s="242"/>
      <c r="C244" s="24"/>
      <c r="D244" s="24">
        <f t="shared" si="21"/>
        <v>217</v>
      </c>
      <c r="E244" s="244">
        <f t="shared" si="18"/>
        <v>4292260.3107371042</v>
      </c>
      <c r="F244" s="244">
        <f t="shared" si="19"/>
        <v>41320.192830531254</v>
      </c>
      <c r="G244" s="244">
        <f t="shared" si="20"/>
        <v>166753.3040684273</v>
      </c>
      <c r="H244" s="243">
        <f t="shared" si="22"/>
        <v>208073.49689895855</v>
      </c>
      <c r="I244" s="24"/>
      <c r="J244" s="241"/>
    </row>
    <row r="245" spans="2:10" x14ac:dyDescent="0.25">
      <c r="B245" s="242"/>
      <c r="C245" s="24"/>
      <c r="D245" s="24">
        <f t="shared" si="21"/>
        <v>218</v>
      </c>
      <c r="E245" s="244">
        <f t="shared" si="18"/>
        <v>4123961.7593843094</v>
      </c>
      <c r="F245" s="244">
        <f t="shared" si="19"/>
        <v>39774.945546163828</v>
      </c>
      <c r="G245" s="244">
        <f t="shared" si="20"/>
        <v>168298.55135279484</v>
      </c>
      <c r="H245" s="243">
        <f t="shared" si="22"/>
        <v>208073.49689895866</v>
      </c>
      <c r="I245" s="24"/>
      <c r="J245" s="241"/>
    </row>
    <row r="246" spans="2:10" x14ac:dyDescent="0.25">
      <c r="B246" s="242"/>
      <c r="C246" s="24"/>
      <c r="D246" s="24">
        <f t="shared" si="21"/>
        <v>219</v>
      </c>
      <c r="E246" s="244">
        <f t="shared" si="18"/>
        <v>3954103.6414556452</v>
      </c>
      <c r="F246" s="244">
        <f t="shared" si="19"/>
        <v>38215.378970294601</v>
      </c>
      <c r="G246" s="244">
        <f t="shared" si="20"/>
        <v>169858.11792866414</v>
      </c>
      <c r="H246" s="243">
        <f t="shared" si="22"/>
        <v>208073.49689895875</v>
      </c>
      <c r="I246" s="24"/>
      <c r="J246" s="241"/>
    </row>
    <row r="247" spans="2:10" x14ac:dyDescent="0.25">
      <c r="B247" s="242"/>
      <c r="C247" s="24"/>
      <c r="D247" s="24">
        <f t="shared" si="21"/>
        <v>220</v>
      </c>
      <c r="E247" s="244">
        <f t="shared" si="18"/>
        <v>3782671.5049675088</v>
      </c>
      <c r="F247" s="244">
        <f t="shared" si="19"/>
        <v>36641.360410822308</v>
      </c>
      <c r="G247" s="244">
        <f t="shared" si="20"/>
        <v>171432.13648813649</v>
      </c>
      <c r="H247" s="243">
        <f t="shared" si="22"/>
        <v>208073.49689895881</v>
      </c>
      <c r="I247" s="24"/>
      <c r="J247" s="241"/>
    </row>
    <row r="248" spans="2:10" x14ac:dyDescent="0.25">
      <c r="B248" s="242"/>
      <c r="C248" s="24"/>
      <c r="D248" s="24">
        <f t="shared" si="21"/>
        <v>221</v>
      </c>
      <c r="E248" s="244">
        <f t="shared" si="18"/>
        <v>3609650.7640145821</v>
      </c>
      <c r="F248" s="244">
        <f t="shared" si="19"/>
        <v>35052.755946032245</v>
      </c>
      <c r="G248" s="244">
        <f t="shared" si="20"/>
        <v>173020.74095292678</v>
      </c>
      <c r="H248" s="243">
        <f t="shared" si="22"/>
        <v>208073.49689895901</v>
      </c>
      <c r="I248" s="24"/>
      <c r="J248" s="241"/>
    </row>
    <row r="249" spans="2:10" x14ac:dyDescent="0.25">
      <c r="B249" s="242"/>
      <c r="C249" s="24"/>
      <c r="D249" s="24">
        <f t="shared" si="21"/>
        <v>222</v>
      </c>
      <c r="E249" s="244">
        <f t="shared" si="18"/>
        <v>3435026.6975288251</v>
      </c>
      <c r="F249" s="244">
        <f t="shared" si="19"/>
        <v>33449.430413201793</v>
      </c>
      <c r="G249" s="244">
        <f t="shared" si="20"/>
        <v>174624.06648575721</v>
      </c>
      <c r="H249" s="243">
        <f t="shared" si="22"/>
        <v>208073.49689895901</v>
      </c>
      <c r="I249" s="24"/>
      <c r="J249" s="241"/>
    </row>
    <row r="250" spans="2:10" x14ac:dyDescent="0.25">
      <c r="B250" s="242"/>
      <c r="C250" s="24"/>
      <c r="D250" s="24">
        <f t="shared" si="21"/>
        <v>223</v>
      </c>
      <c r="E250" s="244">
        <f t="shared" si="18"/>
        <v>3258784.4480269663</v>
      </c>
      <c r="F250" s="244">
        <f t="shared" si="19"/>
        <v>31831.247397100447</v>
      </c>
      <c r="G250" s="244">
        <f t="shared" si="20"/>
        <v>176242.24950185878</v>
      </c>
      <c r="H250" s="243">
        <f t="shared" si="22"/>
        <v>208073.49689895922</v>
      </c>
      <c r="I250" s="24"/>
      <c r="J250" s="241"/>
    </row>
    <row r="251" spans="2:10" x14ac:dyDescent="0.25">
      <c r="B251" s="242"/>
      <c r="C251" s="24"/>
      <c r="D251" s="24">
        <f t="shared" si="21"/>
        <v>224</v>
      </c>
      <c r="E251" s="244">
        <f t="shared" si="18"/>
        <v>3080909.0203463901</v>
      </c>
      <c r="F251" s="244">
        <f t="shared" si="19"/>
        <v>30198.069218383218</v>
      </c>
      <c r="G251" s="244">
        <f t="shared" si="20"/>
        <v>177875.42768057616</v>
      </c>
      <c r="H251" s="243">
        <f t="shared" si="22"/>
        <v>208073.49689895939</v>
      </c>
      <c r="I251" s="24"/>
      <c r="J251" s="241"/>
    </row>
    <row r="252" spans="2:10" x14ac:dyDescent="0.25">
      <c r="B252" s="242"/>
      <c r="C252" s="24"/>
      <c r="D252" s="24">
        <f t="shared" si="21"/>
        <v>225</v>
      </c>
      <c r="E252" s="244">
        <f t="shared" si="18"/>
        <v>2901385.2803693074</v>
      </c>
      <c r="F252" s="244">
        <f t="shared" si="19"/>
        <v>28549.756921876546</v>
      </c>
      <c r="G252" s="244">
        <f t="shared" si="20"/>
        <v>179523.73997708291</v>
      </c>
      <c r="H252" s="243">
        <f t="shared" si="22"/>
        <v>208073.49689895945</v>
      </c>
      <c r="I252" s="24"/>
      <c r="J252" s="241"/>
    </row>
    <row r="253" spans="2:10" x14ac:dyDescent="0.25">
      <c r="B253" s="242"/>
      <c r="C253" s="24"/>
      <c r="D253" s="24">
        <f t="shared" si="21"/>
        <v>226</v>
      </c>
      <c r="E253" s="244">
        <f t="shared" si="18"/>
        <v>2720197.9537351034</v>
      </c>
      <c r="F253" s="244">
        <f t="shared" si="19"/>
        <v>26886.170264755579</v>
      </c>
      <c r="G253" s="244">
        <f t="shared" si="20"/>
        <v>181187.32663420416</v>
      </c>
      <c r="H253" s="243">
        <f t="shared" si="22"/>
        <v>208073.49689895974</v>
      </c>
      <c r="I253" s="24"/>
      <c r="J253" s="241"/>
    </row>
    <row r="254" spans="2:10" x14ac:dyDescent="0.25">
      <c r="B254" s="242"/>
      <c r="C254" s="24"/>
      <c r="D254" s="24">
        <f t="shared" si="21"/>
        <v>227</v>
      </c>
      <c r="E254" s="244">
        <f t="shared" si="18"/>
        <v>2537331.6245407555</v>
      </c>
      <c r="F254" s="244">
        <f t="shared" si="19"/>
        <v>25207.167704611958</v>
      </c>
      <c r="G254" s="244">
        <f t="shared" si="20"/>
        <v>182866.32919434778</v>
      </c>
      <c r="H254" s="243">
        <f t="shared" si="22"/>
        <v>208073.49689895974</v>
      </c>
      <c r="I254" s="24"/>
      <c r="J254" s="241"/>
    </row>
    <row r="255" spans="2:10" x14ac:dyDescent="0.25">
      <c r="B255" s="242"/>
      <c r="C255" s="24"/>
      <c r="D255" s="24">
        <f t="shared" si="21"/>
        <v>228</v>
      </c>
      <c r="E255" s="244">
        <f t="shared" si="18"/>
        <v>2352770.7340292064</v>
      </c>
      <c r="F255" s="244">
        <f t="shared" si="19"/>
        <v>23512.606387411</v>
      </c>
      <c r="G255" s="244">
        <f t="shared" si="20"/>
        <v>184560.89051154908</v>
      </c>
      <c r="H255" s="243">
        <f t="shared" si="22"/>
        <v>208073.49689896009</v>
      </c>
      <c r="I255" s="24"/>
      <c r="J255" s="241"/>
    </row>
    <row r="256" spans="2:10" x14ac:dyDescent="0.25">
      <c r="B256" s="242"/>
      <c r="C256" s="24"/>
      <c r="D256" s="24">
        <f t="shared" si="21"/>
        <v>229</v>
      </c>
      <c r="E256" s="244">
        <f t="shared" si="18"/>
        <v>2166499.5792655838</v>
      </c>
      <c r="F256" s="244">
        <f t="shared" si="19"/>
        <v>21802.342135337312</v>
      </c>
      <c r="G256" s="244">
        <f t="shared" si="20"/>
        <v>186271.15476362273</v>
      </c>
      <c r="H256" s="243">
        <f t="shared" si="22"/>
        <v>208073.49689896003</v>
      </c>
      <c r="I256" s="24"/>
      <c r="J256" s="241"/>
    </row>
    <row r="257" spans="2:10" x14ac:dyDescent="0.25">
      <c r="B257" s="242"/>
      <c r="C257" s="24"/>
      <c r="D257" s="24">
        <f t="shared" si="21"/>
        <v>230</v>
      </c>
      <c r="E257" s="244">
        <f t="shared" si="18"/>
        <v>1978502.3118011511</v>
      </c>
      <c r="F257" s="244">
        <f t="shared" si="19"/>
        <v>20076.229434527744</v>
      </c>
      <c r="G257" s="244">
        <f t="shared" si="20"/>
        <v>187997.26746443263</v>
      </c>
      <c r="H257" s="243">
        <f t="shared" si="22"/>
        <v>208073.49689896038</v>
      </c>
      <c r="I257" s="24"/>
      <c r="J257" s="241"/>
    </row>
    <row r="258" spans="2:10" x14ac:dyDescent="0.25">
      <c r="B258" s="242"/>
      <c r="C258" s="24"/>
      <c r="D258" s="24">
        <f t="shared" si="21"/>
        <v>231</v>
      </c>
      <c r="E258" s="244">
        <f t="shared" si="18"/>
        <v>1788762.9363248812</v>
      </c>
      <c r="F258" s="244">
        <f t="shared" si="19"/>
        <v>18334.121422690667</v>
      </c>
      <c r="G258" s="244">
        <f t="shared" si="20"/>
        <v>189739.37547626998</v>
      </c>
      <c r="H258" s="243">
        <f t="shared" si="22"/>
        <v>208073.49689896064</v>
      </c>
      <c r="I258" s="24"/>
      <c r="J258" s="241"/>
    </row>
    <row r="259" spans="2:10" x14ac:dyDescent="0.25">
      <c r="B259" s="242"/>
      <c r="C259" s="24"/>
      <c r="D259" s="24">
        <f t="shared" si="21"/>
        <v>232</v>
      </c>
      <c r="E259" s="244">
        <f t="shared" si="18"/>
        <v>1597265.3093025307</v>
      </c>
      <c r="F259" s="244">
        <f t="shared" si="19"/>
        <v>16575.869876610563</v>
      </c>
      <c r="G259" s="244">
        <f t="shared" si="20"/>
        <v>191497.62702235032</v>
      </c>
      <c r="H259" s="243">
        <f t="shared" si="22"/>
        <v>208073.49689896088</v>
      </c>
      <c r="I259" s="24"/>
      <c r="J259" s="241"/>
    </row>
    <row r="260" spans="2:10" x14ac:dyDescent="0.25">
      <c r="B260" s="242"/>
      <c r="C260" s="24"/>
      <c r="D260" s="24">
        <f t="shared" si="21"/>
        <v>233</v>
      </c>
      <c r="E260" s="244">
        <f t="shared" si="18"/>
        <v>1403993.1376031064</v>
      </c>
      <c r="F260" s="244">
        <f t="shared" si="19"/>
        <v>14801.325199536783</v>
      </c>
      <c r="G260" s="244">
        <f t="shared" si="20"/>
        <v>193272.17169942419</v>
      </c>
      <c r="H260" s="243">
        <f t="shared" si="22"/>
        <v>208073.49689896096</v>
      </c>
      <c r="I260" s="24"/>
      <c r="J260" s="241"/>
    </row>
    <row r="261" spans="2:10" x14ac:dyDescent="0.25">
      <c r="B261" s="242"/>
      <c r="C261" s="24"/>
      <c r="D261" s="24">
        <f t="shared" si="21"/>
        <v>234</v>
      </c>
      <c r="E261" s="244">
        <f t="shared" si="18"/>
        <v>1208929.9771125999</v>
      </c>
      <c r="F261" s="244">
        <f t="shared" si="19"/>
        <v>13010.336408455451</v>
      </c>
      <c r="G261" s="244">
        <f t="shared" si="20"/>
        <v>195063.16049050653</v>
      </c>
      <c r="H261" s="243">
        <f t="shared" si="22"/>
        <v>208073.49689896198</v>
      </c>
      <c r="I261" s="24"/>
      <c r="J261" s="241"/>
    </row>
    <row r="262" spans="2:10" x14ac:dyDescent="0.25">
      <c r="B262" s="242"/>
      <c r="C262" s="24"/>
      <c r="D262" s="24">
        <f t="shared" si="21"/>
        <v>235</v>
      </c>
      <c r="E262" s="244">
        <f t="shared" si="18"/>
        <v>1012059.2313348816</v>
      </c>
      <c r="F262" s="244">
        <f t="shared" si="19"/>
        <v>11202.751121243426</v>
      </c>
      <c r="G262" s="244">
        <f t="shared" si="20"/>
        <v>196870.74577771832</v>
      </c>
      <c r="H262" s="243">
        <f t="shared" si="22"/>
        <v>208073.49689896175</v>
      </c>
      <c r="I262" s="24"/>
      <c r="J262" s="241"/>
    </row>
    <row r="263" spans="2:10" x14ac:dyDescent="0.25">
      <c r="B263" s="242"/>
      <c r="C263" s="24"/>
      <c r="D263" s="24">
        <f t="shared" ref="D263:D276" si="23">D262+1</f>
        <v>236</v>
      </c>
      <c r="E263" s="244">
        <f t="shared" si="18"/>
        <v>813364.14997962269</v>
      </c>
      <c r="F263" s="244">
        <f t="shared" si="19"/>
        <v>9378.4155437032368</v>
      </c>
      <c r="G263" s="244">
        <f t="shared" si="20"/>
        <v>198695.08135525891</v>
      </c>
      <c r="H263" s="243">
        <f t="shared" ref="H263:H276" si="24">IF(D263&gt;$D$8,0,E262*($D$19/12/(1-(1+$D$19/12)^(-($D$8-D262)))))</f>
        <v>208073.49689896216</v>
      </c>
      <c r="I263" s="24"/>
      <c r="J263" s="241"/>
    </row>
    <row r="264" spans="2:10" x14ac:dyDescent="0.25">
      <c r="B264" s="242"/>
      <c r="C264" s="24"/>
      <c r="D264" s="24">
        <f t="shared" si="23"/>
        <v>237</v>
      </c>
      <c r="E264" s="244">
        <f t="shared" si="18"/>
        <v>612827.82753713732</v>
      </c>
      <c r="F264" s="244">
        <f t="shared" si="19"/>
        <v>7537.1744564778373</v>
      </c>
      <c r="G264" s="244">
        <f t="shared" si="20"/>
        <v>200536.32244248531</v>
      </c>
      <c r="H264" s="243">
        <f t="shared" si="24"/>
        <v>208073.49689896315</v>
      </c>
      <c r="I264" s="24"/>
      <c r="J264" s="241"/>
    </row>
    <row r="265" spans="2:10" x14ac:dyDescent="0.25">
      <c r="B265" s="242"/>
      <c r="C265" s="24"/>
      <c r="D265" s="24">
        <f t="shared" si="23"/>
        <v>238</v>
      </c>
      <c r="E265" s="244">
        <f t="shared" si="18"/>
        <v>410433.20184001798</v>
      </c>
      <c r="F265" s="244">
        <f t="shared" si="19"/>
        <v>5678.8712018441393</v>
      </c>
      <c r="G265" s="244">
        <f t="shared" si="20"/>
        <v>202394.62569711934</v>
      </c>
      <c r="H265" s="243">
        <f t="shared" si="24"/>
        <v>208073.49689896347</v>
      </c>
      <c r="I265" s="24"/>
      <c r="J265" s="241"/>
    </row>
    <row r="266" spans="2:10" x14ac:dyDescent="0.25">
      <c r="B266" s="242"/>
      <c r="C266" s="24"/>
      <c r="D266" s="24">
        <f t="shared" si="23"/>
        <v>239</v>
      </c>
      <c r="E266" s="244">
        <f t="shared" si="18"/>
        <v>206163.05261143728</v>
      </c>
      <c r="F266" s="244">
        <f t="shared" si="19"/>
        <v>3803.3476703841661</v>
      </c>
      <c r="G266" s="244">
        <f t="shared" si="20"/>
        <v>204270.1492285807</v>
      </c>
      <c r="H266" s="243">
        <f t="shared" si="24"/>
        <v>208073.49689896486</v>
      </c>
      <c r="I266" s="24"/>
      <c r="J266" s="241"/>
    </row>
    <row r="267" spans="2:10" x14ac:dyDescent="0.25">
      <c r="B267" s="242"/>
      <c r="C267" s="24"/>
      <c r="D267" s="24">
        <f t="shared" si="23"/>
        <v>240</v>
      </c>
      <c r="E267" s="244">
        <f t="shared" si="18"/>
        <v>7.5669959187507629E-10</v>
      </c>
      <c r="F267" s="244">
        <f t="shared" si="19"/>
        <v>1910.444287532652</v>
      </c>
      <c r="G267" s="244">
        <f t="shared" si="20"/>
        <v>206163.05261143652</v>
      </c>
      <c r="H267" s="243">
        <f t="shared" si="24"/>
        <v>208073.49689896917</v>
      </c>
      <c r="I267" s="24"/>
      <c r="J267" s="241"/>
    </row>
    <row r="268" spans="2:10" x14ac:dyDescent="0.25">
      <c r="B268" s="242"/>
      <c r="C268" s="24"/>
      <c r="D268" s="24">
        <f t="shared" si="23"/>
        <v>241</v>
      </c>
      <c r="E268" s="244">
        <f t="shared" si="18"/>
        <v>7.6371167475978536E-10</v>
      </c>
      <c r="F268" s="244">
        <f t="shared" si="19"/>
        <v>7.0120828847090403E-12</v>
      </c>
      <c r="G268" s="244">
        <f t="shared" si="20"/>
        <v>-7.0120828847090403E-12</v>
      </c>
      <c r="H268" s="243">
        <f t="shared" si="24"/>
        <v>0</v>
      </c>
      <c r="I268" s="24"/>
      <c r="J268" s="241"/>
    </row>
    <row r="269" spans="2:10" x14ac:dyDescent="0.25">
      <c r="B269" s="242"/>
      <c r="C269" s="24"/>
      <c r="D269" s="24">
        <f t="shared" si="23"/>
        <v>242</v>
      </c>
      <c r="E269" s="244">
        <f t="shared" si="18"/>
        <v>7.7078873627922606E-10</v>
      </c>
      <c r="F269" s="244">
        <f t="shared" si="19"/>
        <v>7.0770615194406772E-12</v>
      </c>
      <c r="G269" s="244">
        <f t="shared" si="20"/>
        <v>-7.0770615194406772E-12</v>
      </c>
      <c r="H269" s="243">
        <f t="shared" si="24"/>
        <v>0</v>
      </c>
      <c r="I269" s="24"/>
      <c r="J269" s="241"/>
    </row>
    <row r="270" spans="2:10" x14ac:dyDescent="0.25">
      <c r="B270" s="242"/>
      <c r="C270" s="24"/>
      <c r="D270" s="24">
        <f t="shared" si="23"/>
        <v>243</v>
      </c>
      <c r="E270" s="244">
        <f t="shared" si="18"/>
        <v>7.7793137856874693E-10</v>
      </c>
      <c r="F270" s="244">
        <f t="shared" si="19"/>
        <v>7.1426422895208277E-12</v>
      </c>
      <c r="G270" s="244">
        <f t="shared" si="20"/>
        <v>-7.1426422895208277E-12</v>
      </c>
      <c r="H270" s="243">
        <f t="shared" si="24"/>
        <v>0</v>
      </c>
      <c r="I270" s="24"/>
      <c r="J270" s="241"/>
    </row>
    <row r="271" spans="2:10" x14ac:dyDescent="0.25">
      <c r="B271" s="242"/>
      <c r="C271" s="24"/>
      <c r="D271" s="24">
        <f t="shared" si="23"/>
        <v>244</v>
      </c>
      <c r="E271" s="244">
        <f t="shared" si="18"/>
        <v>7.8514020934348396E-10</v>
      </c>
      <c r="F271" s="244">
        <f t="shared" si="19"/>
        <v>7.2088307747370548E-12</v>
      </c>
      <c r="G271" s="244">
        <f t="shared" si="20"/>
        <v>-7.2088307747370548E-12</v>
      </c>
      <c r="H271" s="243">
        <f t="shared" si="24"/>
        <v>0</v>
      </c>
      <c r="I271" s="24"/>
      <c r="J271" s="241"/>
    </row>
    <row r="272" spans="2:10" x14ac:dyDescent="0.25">
      <c r="B272" s="242"/>
      <c r="C272" s="24"/>
      <c r="D272" s="24">
        <f t="shared" si="23"/>
        <v>245</v>
      </c>
      <c r="E272" s="244">
        <f t="shared" si="18"/>
        <v>7.9241584195006694E-10</v>
      </c>
      <c r="F272" s="244">
        <f t="shared" si="19"/>
        <v>7.275632606582951E-12</v>
      </c>
      <c r="G272" s="244">
        <f t="shared" si="20"/>
        <v>-7.275632606582951E-12</v>
      </c>
      <c r="H272" s="243">
        <f t="shared" si="24"/>
        <v>0</v>
      </c>
      <c r="I272" s="24"/>
      <c r="J272" s="241"/>
    </row>
    <row r="273" spans="2:10" x14ac:dyDescent="0.25">
      <c r="B273" s="242"/>
      <c r="C273" s="24"/>
      <c r="D273" s="24">
        <f t="shared" si="23"/>
        <v>246</v>
      </c>
      <c r="E273" s="244">
        <f t="shared" si="18"/>
        <v>7.9975889541880421E-10</v>
      </c>
      <c r="F273" s="244">
        <f t="shared" si="19"/>
        <v>7.3430534687372862E-12</v>
      </c>
      <c r="G273" s="244">
        <f t="shared" si="20"/>
        <v>-7.3430534687372862E-12</v>
      </c>
      <c r="H273" s="243">
        <f t="shared" si="24"/>
        <v>0</v>
      </c>
      <c r="I273" s="24"/>
      <c r="J273" s="241"/>
    </row>
    <row r="274" spans="2:10" x14ac:dyDescent="0.25">
      <c r="B274" s="242"/>
      <c r="C274" s="24"/>
      <c r="D274" s="24">
        <f t="shared" si="23"/>
        <v>247</v>
      </c>
      <c r="E274" s="244">
        <f t="shared" si="18"/>
        <v>8.0716999451635183E-10</v>
      </c>
      <c r="F274" s="244">
        <f t="shared" si="19"/>
        <v>7.4110990975475853E-12</v>
      </c>
      <c r="G274" s="244">
        <f t="shared" si="20"/>
        <v>-7.4110990975475853E-12</v>
      </c>
      <c r="H274" s="243">
        <f t="shared" si="24"/>
        <v>0</v>
      </c>
      <c r="I274" s="24"/>
      <c r="J274" s="241"/>
    </row>
    <row r="275" spans="2:10" x14ac:dyDescent="0.25">
      <c r="B275" s="242"/>
      <c r="C275" s="24"/>
      <c r="D275" s="24">
        <f t="shared" si="23"/>
        <v>248</v>
      </c>
      <c r="E275" s="244">
        <f t="shared" si="18"/>
        <v>8.1464976979886998E-10</v>
      </c>
      <c r="F275" s="244">
        <f t="shared" si="19"/>
        <v>7.4797752825181928E-12</v>
      </c>
      <c r="G275" s="244">
        <f t="shared" si="20"/>
        <v>-7.4797752825181928E-12</v>
      </c>
      <c r="H275" s="243">
        <f t="shared" si="24"/>
        <v>0</v>
      </c>
      <c r="I275" s="24"/>
      <c r="J275" s="241"/>
    </row>
    <row r="276" spans="2:10" x14ac:dyDescent="0.25">
      <c r="B276" s="242"/>
      <c r="C276" s="24"/>
      <c r="D276" s="24">
        <f t="shared" si="23"/>
        <v>249</v>
      </c>
      <c r="E276" s="244">
        <f t="shared" si="18"/>
        <v>8.2219885766567284E-10</v>
      </c>
      <c r="F276" s="244">
        <f t="shared" si="19"/>
        <v>7.5490878668028615E-12</v>
      </c>
      <c r="G276" s="244">
        <f t="shared" si="20"/>
        <v>-7.5490878668028615E-12</v>
      </c>
      <c r="H276" s="243">
        <f t="shared" si="24"/>
        <v>0</v>
      </c>
      <c r="I276" s="24"/>
      <c r="J276" s="241"/>
    </row>
    <row r="277" spans="2:10" x14ac:dyDescent="0.25">
      <c r="B277" s="242"/>
      <c r="C277" s="24"/>
      <c r="D277" s="24">
        <f t="shared" ref="D277:D292" si="25">D276+1</f>
        <v>250</v>
      </c>
      <c r="E277" s="244">
        <f t="shared" si="18"/>
        <v>8.2981790041337471E-10</v>
      </c>
      <c r="F277" s="244">
        <f t="shared" si="19"/>
        <v>7.6190427477019002E-12</v>
      </c>
      <c r="G277" s="244">
        <f t="shared" si="20"/>
        <v>-7.6190427477019002E-12</v>
      </c>
      <c r="H277" s="243">
        <f t="shared" ref="H277:H292" si="26">IF(D277&gt;$D$8,0,E276*($D$19/12/(1-(1+$D$19/12)^(-($D$8-D276)))))</f>
        <v>0</v>
      </c>
      <c r="I277" s="24"/>
      <c r="J277" s="241"/>
    </row>
    <row r="278" spans="2:10" x14ac:dyDescent="0.25">
      <c r="B278" s="242"/>
      <c r="C278" s="24"/>
      <c r="D278" s="24">
        <f t="shared" si="25"/>
        <v>251</v>
      </c>
      <c r="E278" s="244">
        <f t="shared" si="18"/>
        <v>8.3750754629053861E-10</v>
      </c>
      <c r="F278" s="244">
        <f t="shared" si="19"/>
        <v>7.6896458771639381E-12</v>
      </c>
      <c r="G278" s="244">
        <f t="shared" si="20"/>
        <v>-7.6896458771639381E-12</v>
      </c>
      <c r="H278" s="243">
        <f t="shared" si="26"/>
        <v>0</v>
      </c>
      <c r="I278" s="24"/>
      <c r="J278" s="241"/>
    </row>
    <row r="279" spans="2:10" x14ac:dyDescent="0.25">
      <c r="B279" s="242"/>
      <c r="C279" s="24"/>
      <c r="D279" s="24">
        <f t="shared" si="25"/>
        <v>252</v>
      </c>
      <c r="E279" s="244">
        <f t="shared" si="18"/>
        <v>8.4526844955283096E-10</v>
      </c>
      <c r="F279" s="244">
        <f t="shared" si="19"/>
        <v>7.7609032622923244E-12</v>
      </c>
      <c r="G279" s="244">
        <f t="shared" si="20"/>
        <v>-7.7609032622923244E-12</v>
      </c>
      <c r="H279" s="243">
        <f t="shared" si="26"/>
        <v>0</v>
      </c>
      <c r="I279" s="24"/>
      <c r="J279" s="241"/>
    </row>
    <row r="280" spans="2:10" x14ac:dyDescent="0.25">
      <c r="B280" s="242"/>
      <c r="C280" s="24"/>
      <c r="D280" s="24">
        <f t="shared" si="25"/>
        <v>253</v>
      </c>
      <c r="E280" s="244">
        <f t="shared" si="18"/>
        <v>8.5310127051868717E-10</v>
      </c>
      <c r="F280" s="244">
        <f t="shared" si="19"/>
        <v>7.8328209658562335E-12</v>
      </c>
      <c r="G280" s="244">
        <f t="shared" si="20"/>
        <v>-7.8328209658562335E-12</v>
      </c>
      <c r="H280" s="243">
        <f t="shared" si="26"/>
        <v>0</v>
      </c>
      <c r="I280" s="24"/>
      <c r="J280" s="241"/>
    </row>
    <row r="281" spans="2:10" x14ac:dyDescent="0.25">
      <c r="B281" s="242"/>
      <c r="C281" s="24"/>
      <c r="D281" s="24">
        <f t="shared" si="25"/>
        <v>254</v>
      </c>
      <c r="E281" s="244">
        <f t="shared" si="18"/>
        <v>8.610066756254937E-10</v>
      </c>
      <c r="F281" s="244">
        <f t="shared" si="19"/>
        <v>7.9054051068065012E-12</v>
      </c>
      <c r="G281" s="244">
        <f t="shared" si="20"/>
        <v>-7.9054051068065012E-12</v>
      </c>
      <c r="H281" s="243">
        <f t="shared" si="26"/>
        <v>0</v>
      </c>
      <c r="I281" s="24"/>
      <c r="J281" s="241"/>
    </row>
    <row r="282" spans="2:10" x14ac:dyDescent="0.25">
      <c r="B282" s="242"/>
      <c r="C282" s="24"/>
      <c r="D282" s="24">
        <f t="shared" si="25"/>
        <v>255</v>
      </c>
      <c r="E282" s="244">
        <f t="shared" si="18"/>
        <v>8.6898533748628997E-10</v>
      </c>
      <c r="F282" s="244">
        <f t="shared" si="19"/>
        <v>7.9786618607962411E-12</v>
      </c>
      <c r="G282" s="244">
        <f t="shared" si="20"/>
        <v>-7.9786618607962411E-12</v>
      </c>
      <c r="H282" s="243">
        <f t="shared" si="26"/>
        <v>0</v>
      </c>
      <c r="I282" s="24"/>
      <c r="J282" s="241"/>
    </row>
    <row r="283" spans="2:10" x14ac:dyDescent="0.25">
      <c r="B283" s="242"/>
      <c r="C283" s="24"/>
      <c r="D283" s="24">
        <f t="shared" si="25"/>
        <v>256</v>
      </c>
      <c r="E283" s="244">
        <f t="shared" si="18"/>
        <v>8.7703793494699624E-10</v>
      </c>
      <c r="F283" s="244">
        <f t="shared" si="19"/>
        <v>8.0525974607062867E-12</v>
      </c>
      <c r="G283" s="244">
        <f t="shared" si="20"/>
        <v>-8.0525974607062867E-12</v>
      </c>
      <c r="H283" s="243">
        <f t="shared" si="26"/>
        <v>0</v>
      </c>
      <c r="I283" s="24"/>
      <c r="J283" s="241"/>
    </row>
    <row r="284" spans="2:10" x14ac:dyDescent="0.25">
      <c r="B284" s="242"/>
      <c r="C284" s="24"/>
      <c r="D284" s="24">
        <f t="shared" si="25"/>
        <v>257</v>
      </c>
      <c r="E284" s="244">
        <f t="shared" si="18"/>
        <v>8.8516515314417178E-10</v>
      </c>
      <c r="F284" s="244">
        <f t="shared" si="19"/>
        <v>8.1272181971754984E-12</v>
      </c>
      <c r="G284" s="244">
        <f t="shared" si="20"/>
        <v>-8.1272181971754984E-12</v>
      </c>
      <c r="H284" s="243">
        <f t="shared" si="26"/>
        <v>0</v>
      </c>
      <c r="I284" s="24"/>
      <c r="J284" s="241"/>
    </row>
    <row r="285" spans="2:10" x14ac:dyDescent="0.25">
      <c r="B285" s="242"/>
      <c r="C285" s="24"/>
      <c r="D285" s="24">
        <f t="shared" si="25"/>
        <v>258</v>
      </c>
      <c r="E285" s="244">
        <f t="shared" ref="E285:E348" si="27">MAX(E284-G285,0)</f>
        <v>8.9336768356330775E-10</v>
      </c>
      <c r="F285" s="244">
        <f t="shared" ref="F285:F348" si="28">MAX(E284*$D$19/12,0)</f>
        <v>8.2025304191359915E-12</v>
      </c>
      <c r="G285" s="244">
        <f t="shared" ref="G285:G348" si="29">H285-F285</f>
        <v>-8.2025304191359915E-12</v>
      </c>
      <c r="H285" s="243">
        <f t="shared" si="26"/>
        <v>0</v>
      </c>
      <c r="I285" s="24"/>
      <c r="J285" s="241"/>
    </row>
    <row r="286" spans="2:10" x14ac:dyDescent="0.25">
      <c r="B286" s="242"/>
      <c r="C286" s="24"/>
      <c r="D286" s="24">
        <f t="shared" si="25"/>
        <v>259</v>
      </c>
      <c r="E286" s="244">
        <f t="shared" si="27"/>
        <v>9.0164622409766105E-10</v>
      </c>
      <c r="F286" s="244">
        <f t="shared" si="28"/>
        <v>8.2785405343533184E-12</v>
      </c>
      <c r="G286" s="244">
        <f t="shared" si="29"/>
        <v>-8.2785405343533184E-12</v>
      </c>
      <c r="H286" s="243">
        <f t="shared" si="26"/>
        <v>0</v>
      </c>
      <c r="I286" s="24"/>
      <c r="J286" s="241"/>
    </row>
    <row r="287" spans="2:10" x14ac:dyDescent="0.25">
      <c r="B287" s="242"/>
      <c r="C287" s="24"/>
      <c r="D287" s="24">
        <f t="shared" si="25"/>
        <v>260</v>
      </c>
      <c r="E287" s="244">
        <f t="shared" si="27"/>
        <v>9.1000147910763273E-10</v>
      </c>
      <c r="F287" s="244">
        <f t="shared" si="28"/>
        <v>8.3552550099716591E-12</v>
      </c>
      <c r="G287" s="244">
        <f t="shared" si="29"/>
        <v>-8.3552550099716591E-12</v>
      </c>
      <c r="H287" s="243">
        <f t="shared" si="26"/>
        <v>0</v>
      </c>
      <c r="I287" s="24"/>
      <c r="J287" s="241"/>
    </row>
    <row r="288" spans="2:10" x14ac:dyDescent="0.25">
      <c r="B288" s="242"/>
      <c r="C288" s="24"/>
      <c r="D288" s="24">
        <f t="shared" si="25"/>
        <v>261</v>
      </c>
      <c r="E288" s="244">
        <f t="shared" si="27"/>
        <v>9.1843415948069676E-10</v>
      </c>
      <c r="F288" s="244">
        <f t="shared" si="28"/>
        <v>8.4326803730640635E-12</v>
      </c>
      <c r="G288" s="244">
        <f t="shared" si="29"/>
        <v>-8.4326803730640635E-12</v>
      </c>
      <c r="H288" s="243">
        <f t="shared" si="26"/>
        <v>0</v>
      </c>
      <c r="I288" s="24"/>
      <c r="J288" s="241"/>
    </row>
    <row r="289" spans="2:10" x14ac:dyDescent="0.25">
      <c r="B289" s="242"/>
      <c r="C289" s="24"/>
      <c r="D289" s="24">
        <f t="shared" si="25"/>
        <v>262</v>
      </c>
      <c r="E289" s="244">
        <f t="shared" si="27"/>
        <v>9.2694498269188452E-10</v>
      </c>
      <c r="F289" s="244">
        <f t="shared" si="28"/>
        <v>8.5108232111877891E-12</v>
      </c>
      <c r="G289" s="244">
        <f t="shared" si="29"/>
        <v>-8.5108232111877891E-12</v>
      </c>
      <c r="H289" s="243">
        <f t="shared" si="26"/>
        <v>0</v>
      </c>
      <c r="I289" s="24"/>
      <c r="J289" s="241"/>
    </row>
    <row r="290" spans="2:10" x14ac:dyDescent="0.25">
      <c r="B290" s="242"/>
      <c r="C290" s="24"/>
      <c r="D290" s="24">
        <f t="shared" si="25"/>
        <v>263</v>
      </c>
      <c r="E290" s="244">
        <f t="shared" si="27"/>
        <v>9.3553467286482931E-10</v>
      </c>
      <c r="F290" s="244">
        <f t="shared" si="28"/>
        <v>8.5896901729447963E-12</v>
      </c>
      <c r="G290" s="244">
        <f t="shared" si="29"/>
        <v>-8.5896901729447963E-12</v>
      </c>
      <c r="H290" s="243">
        <f t="shared" si="26"/>
        <v>0</v>
      </c>
      <c r="I290" s="24"/>
      <c r="J290" s="241"/>
    </row>
    <row r="291" spans="2:10" x14ac:dyDescent="0.25">
      <c r="B291" s="242"/>
      <c r="C291" s="24"/>
      <c r="D291" s="24">
        <f t="shared" si="25"/>
        <v>264</v>
      </c>
      <c r="E291" s="244">
        <f t="shared" si="27"/>
        <v>9.4420396083337678E-10</v>
      </c>
      <c r="F291" s="244">
        <f t="shared" si="28"/>
        <v>8.6692879685474186E-12</v>
      </c>
      <c r="G291" s="244">
        <f t="shared" si="29"/>
        <v>-8.6692879685474186E-12</v>
      </c>
      <c r="H291" s="243">
        <f t="shared" si="26"/>
        <v>0</v>
      </c>
      <c r="I291" s="24"/>
      <c r="J291" s="241"/>
    </row>
    <row r="292" spans="2:10" x14ac:dyDescent="0.25">
      <c r="B292" s="242"/>
      <c r="C292" s="24"/>
      <c r="D292" s="24">
        <f t="shared" si="25"/>
        <v>265</v>
      </c>
      <c r="E292" s="244">
        <f t="shared" si="27"/>
        <v>9.5295358420376612E-10</v>
      </c>
      <c r="F292" s="244">
        <f t="shared" si="28"/>
        <v>8.7496233703892908E-12</v>
      </c>
      <c r="G292" s="244">
        <f t="shared" si="29"/>
        <v>-8.7496233703892908E-12</v>
      </c>
      <c r="H292" s="243">
        <f t="shared" si="26"/>
        <v>0</v>
      </c>
      <c r="I292" s="24"/>
      <c r="J292" s="241"/>
    </row>
    <row r="293" spans="2:10" x14ac:dyDescent="0.25">
      <c r="B293" s="242"/>
      <c r="C293" s="24"/>
      <c r="D293" s="24">
        <f t="shared" ref="D293:D356" si="30">D292+1</f>
        <v>266</v>
      </c>
      <c r="E293" s="244">
        <f t="shared" si="27"/>
        <v>9.617842874173877E-10</v>
      </c>
      <c r="F293" s="244">
        <f t="shared" si="28"/>
        <v>8.830703213621565E-12</v>
      </c>
      <c r="G293" s="244">
        <f t="shared" si="29"/>
        <v>-8.830703213621565E-12</v>
      </c>
      <c r="H293" s="243">
        <f t="shared" ref="H293:H356" si="31">IF(D293&gt;$D$8,0,E292*($D$19/12/(1-(1+$D$19/12)^(-($D$8-D292)))))</f>
        <v>0</v>
      </c>
      <c r="I293" s="24"/>
      <c r="J293" s="241"/>
    </row>
    <row r="294" spans="2:10" x14ac:dyDescent="0.25">
      <c r="B294" s="242"/>
      <c r="C294" s="24"/>
      <c r="D294" s="24">
        <f t="shared" si="30"/>
        <v>267</v>
      </c>
      <c r="E294" s="244">
        <f t="shared" si="27"/>
        <v>9.7069682181412213E-10</v>
      </c>
      <c r="F294" s="244">
        <f t="shared" si="28"/>
        <v>8.9125343967344581E-12</v>
      </c>
      <c r="G294" s="244">
        <f t="shared" si="29"/>
        <v>-8.9125343967344581E-12</v>
      </c>
      <c r="H294" s="243">
        <f t="shared" si="31"/>
        <v>0</v>
      </c>
      <c r="I294" s="24"/>
      <c r="J294" s="241"/>
    </row>
    <row r="295" spans="2:10" x14ac:dyDescent="0.25">
      <c r="B295" s="242"/>
      <c r="C295" s="24"/>
      <c r="D295" s="24">
        <f t="shared" si="30"/>
        <v>268</v>
      </c>
      <c r="E295" s="244">
        <f t="shared" si="27"/>
        <v>9.7969194569626629E-10</v>
      </c>
      <c r="F295" s="244">
        <f t="shared" si="28"/>
        <v>8.9951238821441974E-12</v>
      </c>
      <c r="G295" s="244">
        <f t="shared" si="29"/>
        <v>-8.9951238821441974E-12</v>
      </c>
      <c r="H295" s="243">
        <f t="shared" si="31"/>
        <v>0</v>
      </c>
      <c r="I295" s="24"/>
      <c r="J295" s="241"/>
    </row>
    <row r="296" spans="2:10" x14ac:dyDescent="0.25">
      <c r="B296" s="242"/>
      <c r="C296" s="24"/>
      <c r="D296" s="24">
        <f t="shared" si="30"/>
        <v>269</v>
      </c>
      <c r="E296" s="244">
        <f t="shared" si="27"/>
        <v>9.887704243930517E-10</v>
      </c>
      <c r="F296" s="244">
        <f t="shared" si="28"/>
        <v>9.0784786967854E-12</v>
      </c>
      <c r="G296" s="244">
        <f t="shared" si="29"/>
        <v>-9.0784786967854E-12</v>
      </c>
      <c r="H296" s="243">
        <f t="shared" si="31"/>
        <v>0</v>
      </c>
      <c r="I296" s="24"/>
      <c r="J296" s="241"/>
    </row>
    <row r="297" spans="2:10" x14ac:dyDescent="0.25">
      <c r="B297" s="242"/>
      <c r="C297" s="24"/>
      <c r="D297" s="24">
        <f t="shared" si="30"/>
        <v>270</v>
      </c>
      <c r="E297" s="244">
        <f t="shared" si="27"/>
        <v>9.9793303032576062E-10</v>
      </c>
      <c r="F297" s="244">
        <f t="shared" si="28"/>
        <v>9.1626059327089452E-12</v>
      </c>
      <c r="G297" s="244">
        <f t="shared" si="29"/>
        <v>-9.1626059327089452E-12</v>
      </c>
      <c r="H297" s="243">
        <f t="shared" si="31"/>
        <v>0</v>
      </c>
      <c r="I297" s="24"/>
      <c r="J297" s="241"/>
    </row>
    <row r="298" spans="2:10" x14ac:dyDescent="0.25">
      <c r="B298" s="242"/>
      <c r="C298" s="24"/>
      <c r="D298" s="24">
        <f t="shared" si="30"/>
        <v>271</v>
      </c>
      <c r="E298" s="244">
        <f t="shared" si="27"/>
        <v>1.007180543073446E-9</v>
      </c>
      <c r="F298" s="244">
        <f t="shared" si="28"/>
        <v>9.2475127476853814E-12</v>
      </c>
      <c r="G298" s="244">
        <f t="shared" si="29"/>
        <v>-9.2475127476853814E-12</v>
      </c>
      <c r="H298" s="243">
        <f t="shared" si="31"/>
        <v>0</v>
      </c>
      <c r="I298" s="24"/>
      <c r="J298" s="241"/>
    </row>
    <row r="299" spans="2:10" x14ac:dyDescent="0.25">
      <c r="B299" s="242"/>
      <c r="C299" s="24"/>
      <c r="D299" s="24">
        <f t="shared" si="30"/>
        <v>272</v>
      </c>
      <c r="E299" s="244">
        <f t="shared" si="27"/>
        <v>1.0165137494392598E-9</v>
      </c>
      <c r="F299" s="244">
        <f t="shared" si="28"/>
        <v>9.3332063658139318E-12</v>
      </c>
      <c r="G299" s="244">
        <f t="shared" si="29"/>
        <v>-9.3332063658139318E-12</v>
      </c>
      <c r="H299" s="243">
        <f t="shared" si="31"/>
        <v>0</v>
      </c>
      <c r="I299" s="24"/>
      <c r="J299" s="241"/>
    </row>
    <row r="300" spans="2:10" x14ac:dyDescent="0.25">
      <c r="B300" s="242"/>
      <c r="C300" s="24"/>
      <c r="D300" s="24">
        <f t="shared" si="30"/>
        <v>273</v>
      </c>
      <c r="E300" s="244">
        <f t="shared" si="27"/>
        <v>1.025933443517397E-9</v>
      </c>
      <c r="F300" s="244">
        <f t="shared" si="28"/>
        <v>9.4196940781371408E-12</v>
      </c>
      <c r="G300" s="244">
        <f t="shared" si="29"/>
        <v>-9.4196940781371408E-12</v>
      </c>
      <c r="H300" s="243">
        <f t="shared" si="31"/>
        <v>0</v>
      </c>
      <c r="I300" s="24"/>
      <c r="J300" s="241"/>
    </row>
    <row r="301" spans="2:10" x14ac:dyDescent="0.25">
      <c r="B301" s="242"/>
      <c r="C301" s="24"/>
      <c r="D301" s="24">
        <f t="shared" si="30"/>
        <v>274</v>
      </c>
      <c r="E301" s="244">
        <f t="shared" si="27"/>
        <v>1.0354404267606581E-9</v>
      </c>
      <c r="F301" s="244">
        <f t="shared" si="28"/>
        <v>9.5069832432612114E-12</v>
      </c>
      <c r="G301" s="244">
        <f t="shared" si="29"/>
        <v>-9.5069832432612114E-12</v>
      </c>
      <c r="H301" s="243">
        <f t="shared" si="31"/>
        <v>0</v>
      </c>
      <c r="I301" s="24"/>
      <c r="J301" s="241"/>
    </row>
    <row r="302" spans="2:10" x14ac:dyDescent="0.25">
      <c r="B302" s="242"/>
      <c r="C302" s="24"/>
      <c r="D302" s="24">
        <f t="shared" si="30"/>
        <v>275</v>
      </c>
      <c r="E302" s="244">
        <f t="shared" si="27"/>
        <v>1.0450355080486402E-9</v>
      </c>
      <c r="F302" s="244">
        <f t="shared" si="28"/>
        <v>9.5950812879820967E-12</v>
      </c>
      <c r="G302" s="244">
        <f t="shared" si="29"/>
        <v>-9.5950812879820967E-12</v>
      </c>
      <c r="H302" s="243">
        <f t="shared" si="31"/>
        <v>0</v>
      </c>
      <c r="I302" s="24"/>
      <c r="J302" s="241"/>
    </row>
    <row r="303" spans="2:10" x14ac:dyDescent="0.25">
      <c r="B303" s="242"/>
      <c r="C303" s="24"/>
      <c r="D303" s="24">
        <f t="shared" si="30"/>
        <v>276</v>
      </c>
      <c r="E303" s="244">
        <f t="shared" si="27"/>
        <v>1.0547195037565575E-9</v>
      </c>
      <c r="F303" s="244">
        <f t="shared" si="28"/>
        <v>9.6839957079173983E-12</v>
      </c>
      <c r="G303" s="244">
        <f t="shared" si="29"/>
        <v>-9.6839957079173983E-12</v>
      </c>
      <c r="H303" s="243">
        <f t="shared" si="31"/>
        <v>0</v>
      </c>
      <c r="I303" s="24"/>
      <c r="J303" s="241"/>
    </row>
    <row r="304" spans="2:10" x14ac:dyDescent="0.25">
      <c r="B304" s="242"/>
      <c r="C304" s="24"/>
      <c r="D304" s="24">
        <f t="shared" si="30"/>
        <v>277</v>
      </c>
      <c r="E304" s="244">
        <f t="shared" si="27"/>
        <v>1.0644932378247016E-9</v>
      </c>
      <c r="F304" s="244">
        <f t="shared" si="28"/>
        <v>9.7737340681440994E-12</v>
      </c>
      <c r="G304" s="244">
        <f t="shared" si="29"/>
        <v>-9.7737340681440994E-12</v>
      </c>
      <c r="H304" s="243">
        <f t="shared" si="31"/>
        <v>0</v>
      </c>
      <c r="I304" s="24"/>
      <c r="J304" s="241"/>
    </row>
    <row r="305" spans="2:10" x14ac:dyDescent="0.25">
      <c r="B305" s="242"/>
      <c r="C305" s="24"/>
      <c r="D305" s="24">
        <f t="shared" si="30"/>
        <v>278</v>
      </c>
      <c r="E305" s="244">
        <f t="shared" si="27"/>
        <v>1.0743575418285438E-9</v>
      </c>
      <c r="F305" s="244">
        <f t="shared" si="28"/>
        <v>9.8643040038422347E-12</v>
      </c>
      <c r="G305" s="244">
        <f t="shared" si="29"/>
        <v>-9.8643040038422347E-12</v>
      </c>
      <c r="H305" s="243">
        <f t="shared" si="31"/>
        <v>0</v>
      </c>
      <c r="I305" s="24"/>
      <c r="J305" s="241"/>
    </row>
    <row r="306" spans="2:10" x14ac:dyDescent="0.25">
      <c r="B306" s="242"/>
      <c r="C306" s="24"/>
      <c r="D306" s="24">
        <f t="shared" si="30"/>
        <v>279</v>
      </c>
      <c r="E306" s="244">
        <f t="shared" si="27"/>
        <v>1.0843132550494882E-9</v>
      </c>
      <c r="F306" s="244">
        <f t="shared" si="28"/>
        <v>9.9557132209445064E-12</v>
      </c>
      <c r="G306" s="244">
        <f t="shared" si="29"/>
        <v>-9.9557132209445064E-12</v>
      </c>
      <c r="H306" s="243">
        <f t="shared" si="31"/>
        <v>0</v>
      </c>
      <c r="I306" s="24"/>
      <c r="J306" s="241"/>
    </row>
    <row r="307" spans="2:10" x14ac:dyDescent="0.25">
      <c r="B307" s="242"/>
      <c r="C307" s="24"/>
      <c r="D307" s="24">
        <f t="shared" si="30"/>
        <v>280</v>
      </c>
      <c r="E307" s="244">
        <f t="shared" si="27"/>
        <v>1.0943612245462802E-9</v>
      </c>
      <c r="F307" s="244">
        <f t="shared" si="28"/>
        <v>1.0047969496791923E-11</v>
      </c>
      <c r="G307" s="244">
        <f t="shared" si="29"/>
        <v>-1.0047969496791923E-11</v>
      </c>
      <c r="H307" s="243">
        <f t="shared" si="31"/>
        <v>0</v>
      </c>
      <c r="I307" s="24"/>
      <c r="J307" s="241"/>
    </row>
    <row r="308" spans="2:10" x14ac:dyDescent="0.25">
      <c r="B308" s="242"/>
      <c r="C308" s="24"/>
      <c r="D308" s="24">
        <f t="shared" si="30"/>
        <v>281</v>
      </c>
      <c r="E308" s="244">
        <f t="shared" si="27"/>
        <v>1.1045023052270756E-9</v>
      </c>
      <c r="F308" s="244">
        <f t="shared" si="28"/>
        <v>1.0141080680795531E-11</v>
      </c>
      <c r="G308" s="244">
        <f t="shared" si="29"/>
        <v>-1.0141080680795531E-11</v>
      </c>
      <c r="H308" s="243">
        <f t="shared" si="31"/>
        <v>0</v>
      </c>
      <c r="I308" s="24"/>
      <c r="J308" s="241"/>
    </row>
    <row r="309" spans="2:10" x14ac:dyDescent="0.25">
      <c r="B309" s="242"/>
      <c r="C309" s="24"/>
      <c r="D309" s="24">
        <f t="shared" si="30"/>
        <v>282</v>
      </c>
      <c r="E309" s="244">
        <f t="shared" si="27"/>
        <v>1.1147373599221799E-9</v>
      </c>
      <c r="F309" s="244">
        <f t="shared" si="28"/>
        <v>1.0235054695104235E-11</v>
      </c>
      <c r="G309" s="244">
        <f t="shared" si="29"/>
        <v>-1.0235054695104235E-11</v>
      </c>
      <c r="H309" s="243">
        <f t="shared" si="31"/>
        <v>0</v>
      </c>
      <c r="I309" s="24"/>
      <c r="J309" s="241"/>
    </row>
    <row r="310" spans="2:10" x14ac:dyDescent="0.25">
      <c r="B310" s="242"/>
      <c r="C310" s="24"/>
      <c r="D310" s="24">
        <f t="shared" si="30"/>
        <v>283</v>
      </c>
      <c r="E310" s="244">
        <f t="shared" si="27"/>
        <v>1.1250672594574588E-9</v>
      </c>
      <c r="F310" s="244">
        <f t="shared" si="28"/>
        <v>1.0329899535278867E-11</v>
      </c>
      <c r="G310" s="244">
        <f t="shared" si="29"/>
        <v>-1.0329899535278867E-11</v>
      </c>
      <c r="H310" s="243">
        <f t="shared" si="31"/>
        <v>0</v>
      </c>
      <c r="I310" s="24"/>
      <c r="J310" s="241"/>
    </row>
    <row r="311" spans="2:10" x14ac:dyDescent="0.25">
      <c r="B311" s="242"/>
      <c r="C311" s="24"/>
      <c r="D311" s="24">
        <f t="shared" si="30"/>
        <v>284</v>
      </c>
      <c r="E311" s="244">
        <f t="shared" si="27"/>
        <v>1.1354928827284312E-9</v>
      </c>
      <c r="F311" s="244">
        <f t="shared" si="28"/>
        <v>1.042562327097245E-11</v>
      </c>
      <c r="G311" s="244">
        <f t="shared" si="29"/>
        <v>-1.042562327097245E-11</v>
      </c>
      <c r="H311" s="243">
        <f t="shared" si="31"/>
        <v>0</v>
      </c>
      <c r="I311" s="24"/>
      <c r="J311" s="241"/>
    </row>
    <row r="312" spans="2:10" x14ac:dyDescent="0.25">
      <c r="B312" s="242"/>
      <c r="C312" s="24"/>
      <c r="D312" s="24">
        <f t="shared" si="30"/>
        <v>285</v>
      </c>
      <c r="E312" s="244">
        <f t="shared" si="27"/>
        <v>1.1460151167750481E-9</v>
      </c>
      <c r="F312" s="244">
        <f t="shared" si="28"/>
        <v>1.0522234046616796E-11</v>
      </c>
      <c r="G312" s="244">
        <f t="shared" si="29"/>
        <v>-1.0522234046616796E-11</v>
      </c>
      <c r="H312" s="243">
        <f t="shared" si="31"/>
        <v>0</v>
      </c>
      <c r="I312" s="24"/>
      <c r="J312" s="241"/>
    </row>
    <row r="313" spans="2:10" x14ac:dyDescent="0.25">
      <c r="B313" s="242"/>
      <c r="C313" s="24"/>
      <c r="D313" s="24">
        <f t="shared" si="30"/>
        <v>286</v>
      </c>
      <c r="E313" s="244">
        <f t="shared" si="27"/>
        <v>1.1566348568571636E-9</v>
      </c>
      <c r="F313" s="244">
        <f t="shared" si="28"/>
        <v>1.0619740082115445E-11</v>
      </c>
      <c r="G313" s="244">
        <f t="shared" si="29"/>
        <v>-1.0619740082115445E-11</v>
      </c>
      <c r="H313" s="243">
        <f t="shared" si="31"/>
        <v>0</v>
      </c>
      <c r="I313" s="24"/>
      <c r="J313" s="241"/>
    </row>
    <row r="314" spans="2:10" x14ac:dyDescent="0.25">
      <c r="B314" s="242"/>
      <c r="C314" s="24"/>
      <c r="D314" s="24">
        <f t="shared" si="30"/>
        <v>287</v>
      </c>
      <c r="E314" s="244">
        <f t="shared" si="27"/>
        <v>1.1673530065307066E-9</v>
      </c>
      <c r="F314" s="244">
        <f t="shared" si="28"/>
        <v>1.0718149673543048E-11</v>
      </c>
      <c r="G314" s="244">
        <f t="shared" si="29"/>
        <v>-1.0718149673543048E-11</v>
      </c>
      <c r="H314" s="243">
        <f t="shared" si="31"/>
        <v>0</v>
      </c>
      <c r="I314" s="24"/>
      <c r="J314" s="241"/>
    </row>
    <row r="315" spans="2:10" x14ac:dyDescent="0.25">
      <c r="B315" s="242"/>
      <c r="C315" s="24"/>
      <c r="D315" s="24">
        <f t="shared" si="30"/>
        <v>288</v>
      </c>
      <c r="E315" s="244">
        <f t="shared" si="27"/>
        <v>1.1781704777245578E-9</v>
      </c>
      <c r="F315" s="244">
        <f t="shared" si="28"/>
        <v>1.0817471193851213E-11</v>
      </c>
      <c r="G315" s="244">
        <f t="shared" si="29"/>
        <v>-1.0817471193851213E-11</v>
      </c>
      <c r="H315" s="243">
        <f t="shared" si="31"/>
        <v>0</v>
      </c>
      <c r="I315" s="24"/>
      <c r="J315" s="241"/>
    </row>
    <row r="316" spans="2:10" x14ac:dyDescent="0.25">
      <c r="B316" s="242"/>
      <c r="C316" s="24"/>
      <c r="D316" s="24">
        <f t="shared" si="30"/>
        <v>289</v>
      </c>
      <c r="E316" s="244">
        <f t="shared" si="27"/>
        <v>1.1890881908181388E-9</v>
      </c>
      <c r="F316" s="244">
        <f t="shared" si="28"/>
        <v>1.0917713093580903E-11</v>
      </c>
      <c r="G316" s="244">
        <f t="shared" si="29"/>
        <v>-1.0917713093580903E-11</v>
      </c>
      <c r="H316" s="243">
        <f t="shared" si="31"/>
        <v>0</v>
      </c>
      <c r="I316" s="24"/>
      <c r="J316" s="241"/>
    </row>
    <row r="317" spans="2:10" x14ac:dyDescent="0.25">
      <c r="B317" s="242"/>
      <c r="C317" s="24"/>
      <c r="D317" s="24">
        <f t="shared" si="30"/>
        <v>290</v>
      </c>
      <c r="E317" s="244">
        <f t="shared" si="27"/>
        <v>1.2001070747197202E-9</v>
      </c>
      <c r="F317" s="244">
        <f t="shared" si="28"/>
        <v>1.1018883901581419E-11</v>
      </c>
      <c r="G317" s="244">
        <f t="shared" si="29"/>
        <v>-1.1018883901581419E-11</v>
      </c>
      <c r="H317" s="243">
        <f t="shared" si="31"/>
        <v>0</v>
      </c>
      <c r="I317" s="24"/>
      <c r="J317" s="241"/>
    </row>
    <row r="318" spans="2:10" x14ac:dyDescent="0.25">
      <c r="B318" s="242"/>
      <c r="C318" s="24"/>
      <c r="D318" s="24">
        <f t="shared" si="30"/>
        <v>291</v>
      </c>
      <c r="E318" s="244">
        <f t="shared" si="27"/>
        <v>1.2112280669454563E-9</v>
      </c>
      <c r="F318" s="244">
        <f t="shared" si="28"/>
        <v>1.1120992225736072E-11</v>
      </c>
      <c r="G318" s="244">
        <f t="shared" si="29"/>
        <v>-1.1120992225736072E-11</v>
      </c>
      <c r="H318" s="243">
        <f t="shared" si="31"/>
        <v>0</v>
      </c>
      <c r="I318" s="24"/>
      <c r="J318" s="241"/>
    </row>
    <row r="319" spans="2:10" x14ac:dyDescent="0.25">
      <c r="B319" s="242"/>
      <c r="C319" s="24"/>
      <c r="D319" s="24">
        <f t="shared" si="30"/>
        <v>292</v>
      </c>
      <c r="E319" s="244">
        <f t="shared" si="27"/>
        <v>1.2224521136991508E-9</v>
      </c>
      <c r="F319" s="244">
        <f t="shared" si="28"/>
        <v>1.1224046753694561E-11</v>
      </c>
      <c r="G319" s="244">
        <f t="shared" si="29"/>
        <v>-1.1224046753694561E-11</v>
      </c>
      <c r="H319" s="243">
        <f t="shared" si="31"/>
        <v>0</v>
      </c>
      <c r="I319" s="24"/>
      <c r="J319" s="241"/>
    </row>
    <row r="320" spans="2:10" x14ac:dyDescent="0.25">
      <c r="B320" s="242"/>
      <c r="C320" s="24"/>
      <c r="D320" s="24">
        <f t="shared" si="30"/>
        <v>293</v>
      </c>
      <c r="E320" s="244">
        <f t="shared" si="27"/>
        <v>1.233780169952763E-9</v>
      </c>
      <c r="F320" s="244">
        <f t="shared" si="28"/>
        <v>1.132805625361213E-11</v>
      </c>
      <c r="G320" s="244">
        <f t="shared" si="29"/>
        <v>-1.132805625361213E-11</v>
      </c>
      <c r="H320" s="243">
        <f t="shared" si="31"/>
        <v>0</v>
      </c>
      <c r="I320" s="24"/>
      <c r="J320" s="241"/>
    </row>
    <row r="321" spans="2:10" x14ac:dyDescent="0.25">
      <c r="B321" s="242"/>
      <c r="C321" s="24"/>
      <c r="D321" s="24">
        <f t="shared" si="30"/>
        <v>294</v>
      </c>
      <c r="E321" s="244">
        <f t="shared" si="27"/>
        <v>1.2452131995276586E-9</v>
      </c>
      <c r="F321" s="244">
        <f t="shared" si="28"/>
        <v>1.1433029574895604E-11</v>
      </c>
      <c r="G321" s="244">
        <f t="shared" si="29"/>
        <v>-1.1433029574895604E-11</v>
      </c>
      <c r="H321" s="243">
        <f t="shared" si="31"/>
        <v>0</v>
      </c>
      <c r="I321" s="24"/>
      <c r="J321" s="241"/>
    </row>
    <row r="322" spans="2:10" x14ac:dyDescent="0.25">
      <c r="B322" s="242"/>
      <c r="C322" s="24"/>
      <c r="D322" s="24">
        <f t="shared" si="30"/>
        <v>295</v>
      </c>
      <c r="E322" s="244">
        <f t="shared" si="27"/>
        <v>1.2567521751766149E-9</v>
      </c>
      <c r="F322" s="244">
        <f t="shared" si="28"/>
        <v>1.1538975648956301E-11</v>
      </c>
      <c r="G322" s="244">
        <f t="shared" si="29"/>
        <v>-1.1538975648956301E-11</v>
      </c>
      <c r="H322" s="243">
        <f t="shared" si="31"/>
        <v>0</v>
      </c>
      <c r="I322" s="24"/>
      <c r="J322" s="241"/>
    </row>
    <row r="323" spans="2:10" x14ac:dyDescent="0.25">
      <c r="B323" s="242"/>
      <c r="C323" s="24"/>
      <c r="D323" s="24">
        <f t="shared" si="30"/>
        <v>296</v>
      </c>
      <c r="E323" s="244">
        <f t="shared" si="27"/>
        <v>1.2683980786665849E-9</v>
      </c>
      <c r="F323" s="244">
        <f t="shared" si="28"/>
        <v>1.1645903489969965E-11</v>
      </c>
      <c r="G323" s="244">
        <f t="shared" si="29"/>
        <v>-1.1645903489969965E-11</v>
      </c>
      <c r="H323" s="243">
        <f t="shared" si="31"/>
        <v>0</v>
      </c>
      <c r="I323" s="24"/>
      <c r="J323" s="241"/>
    </row>
    <row r="324" spans="2:10" x14ac:dyDescent="0.25">
      <c r="B324" s="242"/>
      <c r="C324" s="24"/>
      <c r="D324" s="24">
        <f t="shared" si="30"/>
        <v>297</v>
      </c>
      <c r="E324" s="244">
        <f t="shared" si="27"/>
        <v>1.2801519008622286E-9</v>
      </c>
      <c r="F324" s="244">
        <f t="shared" si="28"/>
        <v>1.1753822195643687E-11</v>
      </c>
      <c r="G324" s="244">
        <f t="shared" si="29"/>
        <v>-1.1753822195643687E-11</v>
      </c>
      <c r="H324" s="243">
        <f t="shared" si="31"/>
        <v>0</v>
      </c>
      <c r="I324" s="24"/>
      <c r="J324" s="241"/>
    </row>
    <row r="325" spans="2:10" x14ac:dyDescent="0.25">
      <c r="B325" s="242"/>
      <c r="C325" s="24"/>
      <c r="D325" s="24">
        <f t="shared" si="30"/>
        <v>298</v>
      </c>
      <c r="E325" s="244">
        <f t="shared" si="27"/>
        <v>1.2920146418102186E-9</v>
      </c>
      <c r="F325" s="244">
        <f t="shared" si="28"/>
        <v>1.1862740947989984E-11</v>
      </c>
      <c r="G325" s="244">
        <f t="shared" si="29"/>
        <v>-1.1862740947989984E-11</v>
      </c>
      <c r="H325" s="243">
        <f t="shared" si="31"/>
        <v>0</v>
      </c>
      <c r="I325" s="24"/>
      <c r="J325" s="241"/>
    </row>
    <row r="326" spans="2:10" x14ac:dyDescent="0.25">
      <c r="B326" s="242"/>
      <c r="C326" s="24"/>
      <c r="D326" s="24">
        <f t="shared" si="30"/>
        <v>299</v>
      </c>
      <c r="E326" s="244">
        <f t="shared" si="27"/>
        <v>1.3039873108243266E-9</v>
      </c>
      <c r="F326" s="244">
        <f t="shared" si="28"/>
        <v>1.1972669014108025E-11</v>
      </c>
      <c r="G326" s="244">
        <f t="shared" si="29"/>
        <v>-1.1972669014108025E-11</v>
      </c>
      <c r="H326" s="243">
        <f t="shared" si="31"/>
        <v>0</v>
      </c>
      <c r="I326" s="24"/>
      <c r="J326" s="241"/>
    </row>
    <row r="327" spans="2:10" x14ac:dyDescent="0.25">
      <c r="B327" s="242"/>
      <c r="C327" s="24"/>
      <c r="D327" s="24">
        <f t="shared" si="30"/>
        <v>300</v>
      </c>
      <c r="E327" s="244">
        <f t="shared" si="27"/>
        <v>1.3160709265712987E-9</v>
      </c>
      <c r="F327" s="244">
        <f t="shared" si="28"/>
        <v>1.2083615746972093E-11</v>
      </c>
      <c r="G327" s="244">
        <f t="shared" si="29"/>
        <v>-1.2083615746972093E-11</v>
      </c>
      <c r="H327" s="243">
        <f t="shared" si="31"/>
        <v>0</v>
      </c>
      <c r="I327" s="24"/>
      <c r="J327" s="241"/>
    </row>
    <row r="328" spans="2:10" x14ac:dyDescent="0.25">
      <c r="B328" s="242"/>
      <c r="C328" s="24"/>
      <c r="D328" s="24">
        <f t="shared" si="30"/>
        <v>301</v>
      </c>
      <c r="E328" s="244">
        <f t="shared" si="27"/>
        <v>1.328266517157526E-9</v>
      </c>
      <c r="F328" s="244">
        <f t="shared" si="28"/>
        <v>1.2195590586227367E-11</v>
      </c>
      <c r="G328" s="244">
        <f t="shared" si="29"/>
        <v>-1.2195590586227367E-11</v>
      </c>
      <c r="H328" s="243">
        <f t="shared" si="31"/>
        <v>0</v>
      </c>
      <c r="I328" s="24"/>
      <c r="J328" s="241"/>
    </row>
    <row r="329" spans="2:10" x14ac:dyDescent="0.25">
      <c r="B329" s="242"/>
      <c r="C329" s="24"/>
      <c r="D329" s="24">
        <f t="shared" si="30"/>
        <v>302</v>
      </c>
      <c r="E329" s="244">
        <f t="shared" si="27"/>
        <v>1.340575120216519E-9</v>
      </c>
      <c r="F329" s="244">
        <f t="shared" si="28"/>
        <v>1.2308603058993074E-11</v>
      </c>
      <c r="G329" s="244">
        <f t="shared" si="29"/>
        <v>-1.2308603058993074E-11</v>
      </c>
      <c r="H329" s="243">
        <f t="shared" si="31"/>
        <v>0</v>
      </c>
      <c r="I329" s="24"/>
      <c r="J329" s="241"/>
    </row>
    <row r="330" spans="2:10" x14ac:dyDescent="0.25">
      <c r="B330" s="242"/>
      <c r="C330" s="24"/>
      <c r="D330" s="24">
        <f t="shared" si="30"/>
        <v>303</v>
      </c>
      <c r="E330" s="244">
        <f t="shared" si="27"/>
        <v>1.352997782997192E-9</v>
      </c>
      <c r="F330" s="244">
        <f t="shared" si="28"/>
        <v>1.2422662780673075E-11</v>
      </c>
      <c r="G330" s="244">
        <f t="shared" si="29"/>
        <v>-1.2422662780673075E-11</v>
      </c>
      <c r="H330" s="243">
        <f t="shared" si="31"/>
        <v>0</v>
      </c>
      <c r="I330" s="24"/>
      <c r="J330" s="241"/>
    </row>
    <row r="331" spans="2:10" x14ac:dyDescent="0.25">
      <c r="B331" s="242"/>
      <c r="C331" s="24"/>
      <c r="D331" s="24">
        <f t="shared" si="30"/>
        <v>304</v>
      </c>
      <c r="E331" s="244">
        <f t="shared" si="27"/>
        <v>1.3655355624529659E-9</v>
      </c>
      <c r="F331" s="244">
        <f t="shared" si="28"/>
        <v>1.2537779455773978E-11</v>
      </c>
      <c r="G331" s="244">
        <f t="shared" si="29"/>
        <v>-1.2537779455773978E-11</v>
      </c>
      <c r="H331" s="243">
        <f t="shared" si="31"/>
        <v>0</v>
      </c>
      <c r="I331" s="24"/>
      <c r="J331" s="241"/>
    </row>
    <row r="332" spans="2:10" x14ac:dyDescent="0.25">
      <c r="B332" s="242"/>
      <c r="C332" s="24"/>
      <c r="D332" s="24">
        <f t="shared" si="30"/>
        <v>305</v>
      </c>
      <c r="E332" s="244">
        <f t="shared" si="27"/>
        <v>1.3781895253316968E-9</v>
      </c>
      <c r="F332" s="244">
        <f t="shared" si="28"/>
        <v>1.2653962878730816E-11</v>
      </c>
      <c r="G332" s="244">
        <f t="shared" si="29"/>
        <v>-1.2653962878730816E-11</v>
      </c>
      <c r="H332" s="243">
        <f t="shared" si="31"/>
        <v>0</v>
      </c>
      <c r="I332" s="24"/>
      <c r="J332" s="241"/>
    </row>
    <row r="333" spans="2:10" x14ac:dyDescent="0.25">
      <c r="B333" s="242"/>
      <c r="C333" s="24"/>
      <c r="D333" s="24">
        <f t="shared" si="30"/>
        <v>306</v>
      </c>
      <c r="E333" s="244">
        <f t="shared" si="27"/>
        <v>1.3909607482664372E-9</v>
      </c>
      <c r="F333" s="244">
        <f t="shared" si="28"/>
        <v>1.2771222934740388E-11</v>
      </c>
      <c r="G333" s="244">
        <f t="shared" si="29"/>
        <v>-1.2771222934740388E-11</v>
      </c>
      <c r="H333" s="243">
        <f t="shared" si="31"/>
        <v>0</v>
      </c>
      <c r="I333" s="24"/>
      <c r="J333" s="241"/>
    </row>
    <row r="334" spans="2:10" x14ac:dyDescent="0.25">
      <c r="B334" s="242"/>
      <c r="C334" s="24"/>
      <c r="D334" s="24">
        <f t="shared" si="30"/>
        <v>307</v>
      </c>
      <c r="E334" s="244">
        <f t="shared" si="27"/>
        <v>1.4038503178670396E-9</v>
      </c>
      <c r="F334" s="244">
        <f t="shared" si="28"/>
        <v>1.2889569600602319E-11</v>
      </c>
      <c r="G334" s="244">
        <f t="shared" si="29"/>
        <v>-1.2889569600602319E-11</v>
      </c>
      <c r="H334" s="243">
        <f t="shared" si="31"/>
        <v>0</v>
      </c>
      <c r="I334" s="24"/>
      <c r="J334" s="241"/>
    </row>
    <row r="335" spans="2:10" x14ac:dyDescent="0.25">
      <c r="B335" s="242"/>
      <c r="C335" s="24"/>
      <c r="D335" s="24">
        <f t="shared" si="30"/>
        <v>308</v>
      </c>
      <c r="E335" s="244">
        <f t="shared" si="27"/>
        <v>1.4168593308126075E-9</v>
      </c>
      <c r="F335" s="244">
        <f t="shared" si="28"/>
        <v>1.3009012945567899E-11</v>
      </c>
      <c r="G335" s="244">
        <f t="shared" si="29"/>
        <v>-1.3009012945567899E-11</v>
      </c>
      <c r="H335" s="243">
        <f t="shared" si="31"/>
        <v>0</v>
      </c>
      <c r="I335" s="24"/>
      <c r="J335" s="241"/>
    </row>
    <row r="336" spans="2:10" x14ac:dyDescent="0.25">
      <c r="B336" s="242"/>
      <c r="C336" s="24"/>
      <c r="D336" s="24">
        <f t="shared" si="30"/>
        <v>309</v>
      </c>
      <c r="E336" s="244">
        <f t="shared" si="27"/>
        <v>1.4299888939448042E-9</v>
      </c>
      <c r="F336" s="244">
        <f t="shared" si="28"/>
        <v>1.3129563132196828E-11</v>
      </c>
      <c r="G336" s="244">
        <f t="shared" si="29"/>
        <v>-1.3129563132196828E-11</v>
      </c>
      <c r="H336" s="243">
        <f t="shared" si="31"/>
        <v>0</v>
      </c>
      <c r="I336" s="24"/>
      <c r="J336" s="241"/>
    </row>
    <row r="337" spans="2:10" x14ac:dyDescent="0.25">
      <c r="B337" s="242"/>
      <c r="C337" s="24"/>
      <c r="D337" s="24">
        <f t="shared" si="30"/>
        <v>310</v>
      </c>
      <c r="E337" s="244">
        <f t="shared" si="27"/>
        <v>1.4432401243620261E-9</v>
      </c>
      <c r="F337" s="244">
        <f t="shared" si="28"/>
        <v>1.3251230417221852E-11</v>
      </c>
      <c r="G337" s="244">
        <f t="shared" si="29"/>
        <v>-1.3251230417221852E-11</v>
      </c>
      <c r="H337" s="243">
        <f t="shared" si="31"/>
        <v>0</v>
      </c>
      <c r="I337" s="24"/>
      <c r="J337" s="241"/>
    </row>
    <row r="338" spans="2:10" x14ac:dyDescent="0.25">
      <c r="B338" s="242"/>
      <c r="C338" s="24"/>
      <c r="D338" s="24">
        <f t="shared" si="30"/>
        <v>311</v>
      </c>
      <c r="E338" s="244">
        <f t="shared" si="27"/>
        <v>1.4566141495144475E-9</v>
      </c>
      <c r="F338" s="244">
        <f t="shared" si="28"/>
        <v>1.3374025152421442E-11</v>
      </c>
      <c r="G338" s="244">
        <f t="shared" si="29"/>
        <v>-1.3374025152421442E-11</v>
      </c>
      <c r="H338" s="243">
        <f t="shared" si="31"/>
        <v>0</v>
      </c>
      <c r="I338" s="24"/>
      <c r="J338" s="241"/>
    </row>
    <row r="339" spans="2:10" x14ac:dyDescent="0.25">
      <c r="B339" s="242"/>
      <c r="C339" s="24"/>
      <c r="D339" s="24">
        <f t="shared" si="30"/>
        <v>312</v>
      </c>
      <c r="E339" s="244">
        <f t="shared" si="27"/>
        <v>1.4701121072999482E-9</v>
      </c>
      <c r="F339" s="244">
        <f t="shared" si="28"/>
        <v>1.3497957785500547E-11</v>
      </c>
      <c r="G339" s="244">
        <f t="shared" si="29"/>
        <v>-1.3497957785500547E-11</v>
      </c>
      <c r="H339" s="243">
        <f t="shared" si="31"/>
        <v>0</v>
      </c>
      <c r="I339" s="24"/>
      <c r="J339" s="241"/>
    </row>
    <row r="340" spans="2:10" x14ac:dyDescent="0.25">
      <c r="B340" s="242"/>
      <c r="C340" s="24"/>
      <c r="D340" s="24">
        <f t="shared" si="30"/>
        <v>313</v>
      </c>
      <c r="E340" s="244">
        <f t="shared" si="27"/>
        <v>1.4837351461609276E-9</v>
      </c>
      <c r="F340" s="244">
        <f t="shared" si="28"/>
        <v>1.3623038860979519E-11</v>
      </c>
      <c r="G340" s="244">
        <f t="shared" si="29"/>
        <v>-1.3623038860979519E-11</v>
      </c>
      <c r="H340" s="243">
        <f t="shared" si="31"/>
        <v>0</v>
      </c>
      <c r="I340" s="24"/>
      <c r="J340" s="241"/>
    </row>
    <row r="341" spans="2:10" x14ac:dyDescent="0.25">
      <c r="B341" s="242"/>
      <c r="C341" s="24"/>
      <c r="D341" s="24">
        <f t="shared" si="30"/>
        <v>314</v>
      </c>
      <c r="E341" s="244">
        <f t="shared" si="27"/>
        <v>1.4974844251820189E-9</v>
      </c>
      <c r="F341" s="244">
        <f t="shared" si="28"/>
        <v>1.3749279021091261E-11</v>
      </c>
      <c r="G341" s="244">
        <f t="shared" si="29"/>
        <v>-1.3749279021091261E-11</v>
      </c>
      <c r="H341" s="243">
        <f t="shared" si="31"/>
        <v>0</v>
      </c>
      <c r="I341" s="24"/>
      <c r="J341" s="241"/>
    </row>
    <row r="342" spans="2:10" x14ac:dyDescent="0.25">
      <c r="B342" s="242"/>
      <c r="C342" s="24"/>
      <c r="D342" s="24">
        <f t="shared" si="30"/>
        <v>315</v>
      </c>
      <c r="E342" s="244">
        <f t="shared" si="27"/>
        <v>1.5113611141887055E-9</v>
      </c>
      <c r="F342" s="244">
        <f t="shared" si="28"/>
        <v>1.3876689006686706E-11</v>
      </c>
      <c r="G342" s="244">
        <f t="shared" si="29"/>
        <v>-1.3876689006686706E-11</v>
      </c>
      <c r="H342" s="243">
        <f t="shared" si="31"/>
        <v>0</v>
      </c>
      <c r="I342" s="24"/>
      <c r="J342" s="241"/>
    </row>
    <row r="343" spans="2:10" x14ac:dyDescent="0.25">
      <c r="B343" s="242"/>
      <c r="C343" s="24"/>
      <c r="D343" s="24">
        <f t="shared" si="30"/>
        <v>316</v>
      </c>
      <c r="E343" s="244">
        <f t="shared" si="27"/>
        <v>1.5253663938468542E-9</v>
      </c>
      <c r="F343" s="244">
        <f t="shared" si="28"/>
        <v>1.400527965814867E-11</v>
      </c>
      <c r="G343" s="244">
        <f t="shared" si="29"/>
        <v>-1.400527965814867E-11</v>
      </c>
      <c r="H343" s="243">
        <f t="shared" si="31"/>
        <v>0</v>
      </c>
      <c r="I343" s="24"/>
      <c r="J343" s="241"/>
    </row>
    <row r="344" spans="2:10" x14ac:dyDescent="0.25">
      <c r="B344" s="242"/>
      <c r="C344" s="24"/>
      <c r="D344" s="24">
        <f t="shared" si="30"/>
        <v>317</v>
      </c>
      <c r="E344" s="244">
        <f t="shared" si="27"/>
        <v>1.5395014557631685E-9</v>
      </c>
      <c r="F344" s="244">
        <f t="shared" si="28"/>
        <v>1.4135061916314183E-11</v>
      </c>
      <c r="G344" s="244">
        <f t="shared" si="29"/>
        <v>-1.4135061916314183E-11</v>
      </c>
      <c r="H344" s="243">
        <f t="shared" si="31"/>
        <v>0</v>
      </c>
      <c r="I344" s="24"/>
      <c r="J344" s="241"/>
    </row>
    <row r="345" spans="2:10" x14ac:dyDescent="0.25">
      <c r="B345" s="242"/>
      <c r="C345" s="24"/>
      <c r="D345" s="24">
        <f t="shared" si="30"/>
        <v>318</v>
      </c>
      <c r="E345" s="244">
        <f t="shared" si="27"/>
        <v>1.5537675025865739E-9</v>
      </c>
      <c r="F345" s="244">
        <f t="shared" si="28"/>
        <v>1.426604682340536E-11</v>
      </c>
      <c r="G345" s="244">
        <f t="shared" si="29"/>
        <v>-1.426604682340536E-11</v>
      </c>
      <c r="H345" s="243">
        <f t="shared" si="31"/>
        <v>0</v>
      </c>
      <c r="I345" s="24"/>
      <c r="J345" s="241"/>
    </row>
    <row r="346" spans="2:10" x14ac:dyDescent="0.25">
      <c r="B346" s="242"/>
      <c r="C346" s="24"/>
      <c r="D346" s="24">
        <f t="shared" si="30"/>
        <v>319</v>
      </c>
      <c r="E346" s="244">
        <f t="shared" si="27"/>
        <v>1.5681657481105427E-9</v>
      </c>
      <c r="F346" s="244">
        <f t="shared" si="28"/>
        <v>1.4398245523968917E-11</v>
      </c>
      <c r="G346" s="244">
        <f t="shared" si="29"/>
        <v>-1.4398245523968917E-11</v>
      </c>
      <c r="H346" s="243">
        <f t="shared" si="31"/>
        <v>0</v>
      </c>
      <c r="I346" s="24"/>
      <c r="J346" s="241"/>
    </row>
    <row r="347" spans="2:10" x14ac:dyDescent="0.25">
      <c r="B347" s="242"/>
      <c r="C347" s="24"/>
      <c r="D347" s="24">
        <f t="shared" si="30"/>
        <v>320</v>
      </c>
      <c r="E347" s="244">
        <f t="shared" si="27"/>
        <v>1.5826974173763672E-9</v>
      </c>
      <c r="F347" s="244">
        <f t="shared" si="28"/>
        <v>1.4531669265824361E-11</v>
      </c>
      <c r="G347" s="244">
        <f t="shared" si="29"/>
        <v>-1.4531669265824361E-11</v>
      </c>
      <c r="H347" s="243">
        <f t="shared" si="31"/>
        <v>0</v>
      </c>
      <c r="I347" s="24"/>
      <c r="J347" s="241"/>
    </row>
    <row r="348" spans="2:10" x14ac:dyDescent="0.25">
      <c r="B348" s="242"/>
      <c r="C348" s="24"/>
      <c r="D348" s="24">
        <f t="shared" si="30"/>
        <v>321</v>
      </c>
      <c r="E348" s="244">
        <f t="shared" si="27"/>
        <v>1.5973637467773882E-9</v>
      </c>
      <c r="F348" s="244">
        <f t="shared" si="28"/>
        <v>1.4666329401021003E-11</v>
      </c>
      <c r="G348" s="244">
        <f t="shared" si="29"/>
        <v>-1.4666329401021003E-11</v>
      </c>
      <c r="H348" s="243">
        <f t="shared" si="31"/>
        <v>0</v>
      </c>
      <c r="I348" s="24"/>
      <c r="J348" s="241"/>
    </row>
    <row r="349" spans="2:10" x14ac:dyDescent="0.25">
      <c r="B349" s="242"/>
      <c r="C349" s="24"/>
      <c r="D349" s="24">
        <f t="shared" si="30"/>
        <v>322</v>
      </c>
      <c r="E349" s="244">
        <f t="shared" ref="E349:E387" si="32">MAX(E348-G349,0)</f>
        <v>1.6121659841641919E-9</v>
      </c>
      <c r="F349" s="244">
        <f t="shared" ref="F349:F387" si="33">MAX(E348*$D$19/12,0)</f>
        <v>1.4802237386803796E-11</v>
      </c>
      <c r="G349" s="244">
        <f t="shared" ref="G349:G387" si="34">H349-F349</f>
        <v>-1.4802237386803796E-11</v>
      </c>
      <c r="H349" s="243">
        <f t="shared" si="31"/>
        <v>0</v>
      </c>
      <c r="I349" s="24"/>
      <c r="J349" s="241"/>
    </row>
    <row r="350" spans="2:10" x14ac:dyDescent="0.25">
      <c r="B350" s="242"/>
      <c r="C350" s="24"/>
      <c r="D350" s="24">
        <f t="shared" si="30"/>
        <v>323</v>
      </c>
      <c r="E350" s="244">
        <f t="shared" si="32"/>
        <v>1.62710538895078E-9</v>
      </c>
      <c r="F350" s="244">
        <f t="shared" si="33"/>
        <v>1.4939404786588179E-11</v>
      </c>
      <c r="G350" s="244">
        <f t="shared" si="34"/>
        <v>-1.4939404786588179E-11</v>
      </c>
      <c r="H350" s="243">
        <f t="shared" si="31"/>
        <v>0</v>
      </c>
      <c r="I350" s="24"/>
      <c r="J350" s="241"/>
    </row>
    <row r="351" spans="2:10" x14ac:dyDescent="0.25">
      <c r="B351" s="242"/>
      <c r="C351" s="24"/>
      <c r="D351" s="24">
        <f t="shared" si="30"/>
        <v>324</v>
      </c>
      <c r="E351" s="244">
        <f t="shared" si="32"/>
        <v>1.6421832322217239E-9</v>
      </c>
      <c r="F351" s="244">
        <f t="shared" si="33"/>
        <v>1.5077843270943895E-11</v>
      </c>
      <c r="G351" s="244">
        <f t="shared" si="34"/>
        <v>-1.5077843270943895E-11</v>
      </c>
      <c r="H351" s="243">
        <f t="shared" si="31"/>
        <v>0</v>
      </c>
      <c r="I351" s="24"/>
      <c r="J351" s="241"/>
    </row>
    <row r="352" spans="2:10" x14ac:dyDescent="0.25">
      <c r="B352" s="242"/>
      <c r="C352" s="24"/>
      <c r="D352" s="24">
        <f t="shared" si="30"/>
        <v>325</v>
      </c>
      <c r="E352" s="244">
        <f t="shared" si="32"/>
        <v>1.6574007968403119E-9</v>
      </c>
      <c r="F352" s="244">
        <f t="shared" si="33"/>
        <v>1.5217564618587976E-11</v>
      </c>
      <c r="G352" s="244">
        <f t="shared" si="34"/>
        <v>-1.5217564618587976E-11</v>
      </c>
      <c r="H352" s="243">
        <f t="shared" si="31"/>
        <v>0</v>
      </c>
      <c r="I352" s="24"/>
      <c r="J352" s="241"/>
    </row>
    <row r="353" spans="2:10" x14ac:dyDescent="0.25">
      <c r="B353" s="242"/>
      <c r="C353" s="24"/>
      <c r="D353" s="24">
        <f t="shared" si="30"/>
        <v>326</v>
      </c>
      <c r="E353" s="244">
        <f t="shared" si="32"/>
        <v>1.6727593775576988E-9</v>
      </c>
      <c r="F353" s="244">
        <f t="shared" si="33"/>
        <v>1.5358580717386888E-11</v>
      </c>
      <c r="G353" s="244">
        <f t="shared" si="34"/>
        <v>-1.5358580717386888E-11</v>
      </c>
      <c r="H353" s="243">
        <f t="shared" si="31"/>
        <v>0</v>
      </c>
      <c r="I353" s="24"/>
      <c r="J353" s="241"/>
    </row>
    <row r="354" spans="2:10" x14ac:dyDescent="0.25">
      <c r="B354" s="242"/>
      <c r="C354" s="24"/>
      <c r="D354" s="24">
        <f t="shared" si="30"/>
        <v>327</v>
      </c>
      <c r="E354" s="244">
        <f t="shared" si="32"/>
        <v>1.6882602811230668E-9</v>
      </c>
      <c r="F354" s="244">
        <f t="shared" si="33"/>
        <v>1.5500903565368009E-11</v>
      </c>
      <c r="G354" s="244">
        <f t="shared" si="34"/>
        <v>-1.5500903565368009E-11</v>
      </c>
      <c r="H354" s="243">
        <f t="shared" si="31"/>
        <v>0</v>
      </c>
      <c r="I354" s="24"/>
      <c r="J354" s="241"/>
    </row>
    <row r="355" spans="2:10" x14ac:dyDescent="0.25">
      <c r="B355" s="242"/>
      <c r="C355" s="24"/>
      <c r="D355" s="24">
        <f t="shared" si="30"/>
        <v>328</v>
      </c>
      <c r="E355" s="244">
        <f t="shared" si="32"/>
        <v>1.7039048263948072E-9</v>
      </c>
      <c r="F355" s="244">
        <f t="shared" si="33"/>
        <v>1.5644545271740419E-11</v>
      </c>
      <c r="G355" s="244">
        <f t="shared" si="34"/>
        <v>-1.5644545271740419E-11</v>
      </c>
      <c r="H355" s="243">
        <f t="shared" si="31"/>
        <v>0</v>
      </c>
      <c r="I355" s="24"/>
      <c r="J355" s="241"/>
    </row>
    <row r="356" spans="2:10" x14ac:dyDescent="0.25">
      <c r="B356" s="242"/>
      <c r="C356" s="24"/>
      <c r="D356" s="24">
        <f t="shared" si="30"/>
        <v>329</v>
      </c>
      <c r="E356" s="244">
        <f t="shared" si="32"/>
        <v>1.7196943444527325E-9</v>
      </c>
      <c r="F356" s="244">
        <f t="shared" si="33"/>
        <v>1.5789518057925213E-11</v>
      </c>
      <c r="G356" s="244">
        <f t="shared" si="34"/>
        <v>-1.5789518057925213E-11</v>
      </c>
      <c r="H356" s="243">
        <f t="shared" si="31"/>
        <v>0</v>
      </c>
      <c r="I356" s="24"/>
      <c r="J356" s="241"/>
    </row>
    <row r="357" spans="2:10" x14ac:dyDescent="0.25">
      <c r="B357" s="242"/>
      <c r="C357" s="24"/>
      <c r="D357" s="24">
        <f t="shared" ref="D357:D387" si="35">D356+1</f>
        <v>330</v>
      </c>
      <c r="E357" s="244">
        <f t="shared" si="32"/>
        <v>1.7356301787113278E-9</v>
      </c>
      <c r="F357" s="244">
        <f t="shared" si="33"/>
        <v>1.5935834258595321E-11</v>
      </c>
      <c r="G357" s="244">
        <f t="shared" si="34"/>
        <v>-1.5935834258595321E-11</v>
      </c>
      <c r="H357" s="243">
        <f t="shared" ref="H357:H387" si="36">IF(D357&gt;$D$8,0,E356*($D$19/12/(1-(1+$D$19/12)^(-($D$8-D356)))))</f>
        <v>0</v>
      </c>
      <c r="I357" s="24"/>
      <c r="J357" s="241"/>
    </row>
    <row r="358" spans="2:10" x14ac:dyDescent="0.25">
      <c r="B358" s="242"/>
      <c r="C358" s="24"/>
      <c r="D358" s="24">
        <f t="shared" si="35"/>
        <v>331</v>
      </c>
      <c r="E358" s="244">
        <f t="shared" si="32"/>
        <v>1.7517136850340527E-9</v>
      </c>
      <c r="F358" s="244">
        <f t="shared" si="33"/>
        <v>1.608350632272497E-11</v>
      </c>
      <c r="G358" s="244">
        <f t="shared" si="34"/>
        <v>-1.608350632272497E-11</v>
      </c>
      <c r="H358" s="243">
        <f t="shared" si="36"/>
        <v>0</v>
      </c>
      <c r="I358" s="24"/>
      <c r="J358" s="241"/>
    </row>
    <row r="359" spans="2:10" x14ac:dyDescent="0.25">
      <c r="B359" s="242"/>
      <c r="C359" s="24"/>
      <c r="D359" s="24">
        <f t="shared" si="35"/>
        <v>332</v>
      </c>
      <c r="E359" s="244">
        <f t="shared" si="32"/>
        <v>1.7679462318487016E-9</v>
      </c>
      <c r="F359" s="244">
        <f t="shared" si="33"/>
        <v>1.6232546814648889E-11</v>
      </c>
      <c r="G359" s="244">
        <f t="shared" si="34"/>
        <v>-1.6232546814648889E-11</v>
      </c>
      <c r="H359" s="243">
        <f t="shared" si="36"/>
        <v>0</v>
      </c>
      <c r="I359" s="24"/>
      <c r="J359" s="241"/>
    </row>
    <row r="360" spans="2:10" x14ac:dyDescent="0.25">
      <c r="B360" s="242"/>
      <c r="C360" s="24"/>
      <c r="D360" s="24">
        <f t="shared" si="35"/>
        <v>333</v>
      </c>
      <c r="E360" s="244">
        <f t="shared" si="32"/>
        <v>1.7843292002638329E-9</v>
      </c>
      <c r="F360" s="244">
        <f t="shared" si="33"/>
        <v>1.6382968415131302E-11</v>
      </c>
      <c r="G360" s="244">
        <f t="shared" si="34"/>
        <v>-1.6382968415131302E-11</v>
      </c>
      <c r="H360" s="243">
        <f t="shared" si="36"/>
        <v>0</v>
      </c>
      <c r="I360" s="24"/>
      <c r="J360" s="241"/>
    </row>
    <row r="361" spans="2:10" x14ac:dyDescent="0.25">
      <c r="B361" s="242"/>
      <c r="C361" s="24"/>
      <c r="D361" s="24">
        <f t="shared" si="35"/>
        <v>334</v>
      </c>
      <c r="E361" s="244">
        <f t="shared" si="32"/>
        <v>1.8008639841862778E-9</v>
      </c>
      <c r="F361" s="244">
        <f t="shared" si="33"/>
        <v>1.653478392244485E-11</v>
      </c>
      <c r="G361" s="244">
        <f t="shared" si="34"/>
        <v>-1.653478392244485E-11</v>
      </c>
      <c r="H361" s="243">
        <f t="shared" si="36"/>
        <v>0</v>
      </c>
      <c r="I361" s="24"/>
      <c r="J361" s="241"/>
    </row>
    <row r="362" spans="2:10" x14ac:dyDescent="0.25">
      <c r="B362" s="242"/>
      <c r="C362" s="24"/>
      <c r="D362" s="24">
        <f t="shared" si="35"/>
        <v>335</v>
      </c>
      <c r="E362" s="244">
        <f t="shared" si="32"/>
        <v>1.8175519904397372E-9</v>
      </c>
      <c r="F362" s="244">
        <f t="shared" si="33"/>
        <v>1.6688006253459506E-11</v>
      </c>
      <c r="G362" s="244">
        <f t="shared" si="34"/>
        <v>-1.6688006253459506E-11</v>
      </c>
      <c r="H362" s="243">
        <f t="shared" si="36"/>
        <v>0</v>
      </c>
      <c r="I362" s="24"/>
      <c r="J362" s="241"/>
    </row>
    <row r="363" spans="2:10" x14ac:dyDescent="0.25">
      <c r="B363" s="242"/>
      <c r="C363" s="24"/>
      <c r="D363" s="24">
        <f t="shared" si="35"/>
        <v>336</v>
      </c>
      <c r="E363" s="244">
        <f t="shared" si="32"/>
        <v>1.8343946388844788E-9</v>
      </c>
      <c r="F363" s="244">
        <f t="shared" si="33"/>
        <v>1.6842648444741563E-11</v>
      </c>
      <c r="G363" s="244">
        <f t="shared" si="34"/>
        <v>-1.6842648444741563E-11</v>
      </c>
      <c r="H363" s="243">
        <f t="shared" si="36"/>
        <v>0</v>
      </c>
      <c r="I363" s="24"/>
      <c r="J363" s="241"/>
    </row>
    <row r="364" spans="2:10" x14ac:dyDescent="0.25">
      <c r="B364" s="242"/>
      <c r="C364" s="24"/>
      <c r="D364" s="24">
        <f t="shared" si="35"/>
        <v>337</v>
      </c>
      <c r="E364" s="244">
        <f t="shared" si="32"/>
        <v>1.8513933625381417E-9</v>
      </c>
      <c r="F364" s="244">
        <f t="shared" si="33"/>
        <v>1.6998723653662834E-11</v>
      </c>
      <c r="G364" s="244">
        <f t="shared" si="34"/>
        <v>-1.6998723653662834E-11</v>
      </c>
      <c r="H364" s="243">
        <f t="shared" si="36"/>
        <v>0</v>
      </c>
      <c r="I364" s="24"/>
      <c r="J364" s="241"/>
    </row>
    <row r="365" spans="2:10" x14ac:dyDescent="0.25">
      <c r="B365" s="242"/>
      <c r="C365" s="24"/>
      <c r="D365" s="24">
        <f t="shared" si="35"/>
        <v>338</v>
      </c>
      <c r="E365" s="244">
        <f t="shared" si="32"/>
        <v>1.8685496076976617E-9</v>
      </c>
      <c r="F365" s="244">
        <f t="shared" si="33"/>
        <v>1.7156245159520113E-11</v>
      </c>
      <c r="G365" s="244">
        <f t="shared" si="34"/>
        <v>-1.7156245159520113E-11</v>
      </c>
      <c r="H365" s="243">
        <f t="shared" si="36"/>
        <v>0</v>
      </c>
      <c r="I365" s="24"/>
      <c r="J365" s="241"/>
    </row>
    <row r="366" spans="2:10" x14ac:dyDescent="0.25">
      <c r="B366" s="242"/>
      <c r="C366" s="24"/>
      <c r="D366" s="24">
        <f t="shared" si="35"/>
        <v>339</v>
      </c>
      <c r="E366" s="244">
        <f t="shared" si="32"/>
        <v>1.8858648340623267E-9</v>
      </c>
      <c r="F366" s="244">
        <f t="shared" si="33"/>
        <v>1.7315226364664998E-11</v>
      </c>
      <c r="G366" s="244">
        <f t="shared" si="34"/>
        <v>-1.7315226364664998E-11</v>
      </c>
      <c r="H366" s="243">
        <f t="shared" si="36"/>
        <v>0</v>
      </c>
      <c r="I366" s="24"/>
      <c r="J366" s="241"/>
    </row>
    <row r="367" spans="2:10" x14ac:dyDescent="0.25">
      <c r="B367" s="242"/>
      <c r="C367" s="24"/>
      <c r="D367" s="24">
        <f t="shared" si="35"/>
        <v>340</v>
      </c>
      <c r="E367" s="244">
        <f t="shared" si="32"/>
        <v>1.9033405148579711E-9</v>
      </c>
      <c r="F367" s="244">
        <f t="shared" si="33"/>
        <v>1.7475680795644227E-11</v>
      </c>
      <c r="G367" s="244">
        <f t="shared" si="34"/>
        <v>-1.7475680795644227E-11</v>
      </c>
      <c r="H367" s="243">
        <f t="shared" si="36"/>
        <v>0</v>
      </c>
      <c r="I367" s="24"/>
      <c r="J367" s="241"/>
    </row>
    <row r="368" spans="2:10" x14ac:dyDescent="0.25">
      <c r="B368" s="242"/>
      <c r="C368" s="24"/>
      <c r="D368" s="24">
        <f t="shared" si="35"/>
        <v>341</v>
      </c>
      <c r="E368" s="244">
        <f t="shared" si="32"/>
        <v>1.9209781369623216E-9</v>
      </c>
      <c r="F368" s="244">
        <f t="shared" si="33"/>
        <v>1.7637622104350531E-11</v>
      </c>
      <c r="G368" s="244">
        <f t="shared" si="34"/>
        <v>-1.7637622104350531E-11</v>
      </c>
      <c r="H368" s="243">
        <f t="shared" si="36"/>
        <v>0</v>
      </c>
      <c r="I368" s="24"/>
      <c r="J368" s="241"/>
    </row>
    <row r="369" spans="2:10" x14ac:dyDescent="0.25">
      <c r="B369" s="242"/>
      <c r="C369" s="24"/>
      <c r="D369" s="24">
        <f t="shared" si="35"/>
        <v>342</v>
      </c>
      <c r="E369" s="244">
        <f t="shared" si="32"/>
        <v>1.9387792010315058E-9</v>
      </c>
      <c r="F369" s="244">
        <f t="shared" si="33"/>
        <v>1.7801064069184181E-11</v>
      </c>
      <c r="G369" s="244">
        <f t="shared" si="34"/>
        <v>-1.7801064069184181E-11</v>
      </c>
      <c r="H369" s="243">
        <f t="shared" si="36"/>
        <v>0</v>
      </c>
      <c r="I369" s="24"/>
      <c r="J369" s="241"/>
    </row>
    <row r="370" spans="2:10" x14ac:dyDescent="0.25">
      <c r="B370" s="242"/>
      <c r="C370" s="24"/>
      <c r="D370" s="24">
        <f t="shared" si="35"/>
        <v>343</v>
      </c>
      <c r="E370" s="244">
        <f t="shared" si="32"/>
        <v>1.9567452216277311E-9</v>
      </c>
      <c r="F370" s="244">
        <f t="shared" si="33"/>
        <v>1.7966020596225285E-11</v>
      </c>
      <c r="G370" s="244">
        <f t="shared" si="34"/>
        <v>-1.7966020596225285E-11</v>
      </c>
      <c r="H370" s="243">
        <f t="shared" si="36"/>
        <v>0</v>
      </c>
      <c r="I370" s="24"/>
      <c r="J370" s="241"/>
    </row>
    <row r="371" spans="2:10" x14ac:dyDescent="0.25">
      <c r="B371" s="242"/>
      <c r="C371" s="24"/>
      <c r="D371" s="24">
        <f t="shared" si="35"/>
        <v>344</v>
      </c>
      <c r="E371" s="244">
        <f t="shared" si="32"/>
        <v>1.974877727348148E-9</v>
      </c>
      <c r="F371" s="244">
        <f t="shared" si="33"/>
        <v>1.8132505720416975E-11</v>
      </c>
      <c r="G371" s="244">
        <f t="shared" si="34"/>
        <v>-1.8132505720416975E-11</v>
      </c>
      <c r="H371" s="243">
        <f t="shared" si="36"/>
        <v>0</v>
      </c>
      <c r="I371" s="24"/>
      <c r="J371" s="241"/>
    </row>
    <row r="372" spans="2:10" x14ac:dyDescent="0.25">
      <c r="B372" s="242"/>
      <c r="C372" s="24"/>
      <c r="D372" s="24">
        <f t="shared" si="35"/>
        <v>345</v>
      </c>
      <c r="E372" s="244">
        <f t="shared" si="32"/>
        <v>1.9931782609549077E-9</v>
      </c>
      <c r="F372" s="244">
        <f t="shared" si="33"/>
        <v>1.8300533606759505E-11</v>
      </c>
      <c r="G372" s="244">
        <f t="shared" si="34"/>
        <v>-1.8300533606759505E-11</v>
      </c>
      <c r="H372" s="243">
        <f t="shared" si="36"/>
        <v>0</v>
      </c>
      <c r="I372" s="24"/>
      <c r="J372" s="241"/>
    </row>
    <row r="373" spans="2:10" x14ac:dyDescent="0.25">
      <c r="B373" s="242"/>
      <c r="C373" s="24"/>
      <c r="D373" s="24">
        <f t="shared" si="35"/>
        <v>346</v>
      </c>
      <c r="E373" s="244">
        <f t="shared" si="32"/>
        <v>2.011648379506423E-9</v>
      </c>
      <c r="F373" s="244">
        <f t="shared" si="33"/>
        <v>1.8470118551515477E-11</v>
      </c>
      <c r="G373" s="244">
        <f t="shared" si="34"/>
        <v>-1.8470118551515477E-11</v>
      </c>
      <c r="H373" s="243">
        <f t="shared" si="36"/>
        <v>0</v>
      </c>
      <c r="I373" s="24"/>
      <c r="J373" s="241"/>
    </row>
    <row r="374" spans="2:10" x14ac:dyDescent="0.25">
      <c r="B374" s="242"/>
      <c r="C374" s="24"/>
      <c r="D374" s="24">
        <f t="shared" si="35"/>
        <v>347</v>
      </c>
      <c r="E374" s="244">
        <f t="shared" si="32"/>
        <v>2.030289654489849E-9</v>
      </c>
      <c r="F374" s="244">
        <f t="shared" si="33"/>
        <v>1.8641274983426185E-11</v>
      </c>
      <c r="G374" s="244">
        <f t="shared" si="34"/>
        <v>-1.8641274983426185E-11</v>
      </c>
      <c r="H374" s="243">
        <f t="shared" si="36"/>
        <v>0</v>
      </c>
      <c r="I374" s="24"/>
      <c r="J374" s="241"/>
    </row>
    <row r="375" spans="2:10" x14ac:dyDescent="0.25">
      <c r="B375" s="242"/>
      <c r="C375" s="24"/>
      <c r="D375" s="24">
        <f t="shared" si="35"/>
        <v>348</v>
      </c>
      <c r="E375" s="244">
        <f t="shared" si="32"/>
        <v>2.0491036719547882E-9</v>
      </c>
      <c r="F375" s="244">
        <f t="shared" si="33"/>
        <v>1.8814017464939268E-11</v>
      </c>
      <c r="G375" s="244">
        <f t="shared" si="34"/>
        <v>-1.8814017464939268E-11</v>
      </c>
      <c r="H375" s="243">
        <f t="shared" si="36"/>
        <v>0</v>
      </c>
      <c r="I375" s="24"/>
      <c r="J375" s="241"/>
    </row>
    <row r="376" spans="2:10" x14ac:dyDescent="0.25">
      <c r="B376" s="242"/>
      <c r="C376" s="24"/>
      <c r="D376" s="24">
        <f t="shared" si="35"/>
        <v>349</v>
      </c>
      <c r="E376" s="244">
        <f t="shared" si="32"/>
        <v>2.0680920326482359E-9</v>
      </c>
      <c r="F376" s="244">
        <f t="shared" si="33"/>
        <v>1.8988360693447703E-11</v>
      </c>
      <c r="G376" s="244">
        <f t="shared" si="34"/>
        <v>-1.8988360693447703E-11</v>
      </c>
      <c r="H376" s="243">
        <f t="shared" si="36"/>
        <v>0</v>
      </c>
      <c r="I376" s="24"/>
      <c r="J376" s="241"/>
    </row>
    <row r="377" spans="2:10" x14ac:dyDescent="0.25">
      <c r="B377" s="242"/>
      <c r="C377" s="24"/>
      <c r="D377" s="24">
        <f t="shared" si="35"/>
        <v>350</v>
      </c>
      <c r="E377" s="244">
        <f t="shared" si="32"/>
        <v>2.0872563521507761E-9</v>
      </c>
      <c r="F377" s="244">
        <f t="shared" si="33"/>
        <v>1.9164319502540317E-11</v>
      </c>
      <c r="G377" s="244">
        <f t="shared" si="34"/>
        <v>-1.9164319502540317E-11</v>
      </c>
      <c r="H377" s="243">
        <f t="shared" si="36"/>
        <v>0</v>
      </c>
      <c r="I377" s="24"/>
      <c r="J377" s="241"/>
    </row>
    <row r="378" spans="2:10" x14ac:dyDescent="0.25">
      <c r="B378" s="242"/>
      <c r="C378" s="24"/>
      <c r="D378" s="24">
        <f t="shared" si="35"/>
        <v>351</v>
      </c>
      <c r="E378" s="244">
        <f t="shared" si="32"/>
        <v>2.1065982610140397E-9</v>
      </c>
      <c r="F378" s="244">
        <f t="shared" si="33"/>
        <v>1.9341908863263857E-11</v>
      </c>
      <c r="G378" s="244">
        <f t="shared" si="34"/>
        <v>-1.9341908863263857E-11</v>
      </c>
      <c r="H378" s="243">
        <f t="shared" si="36"/>
        <v>0</v>
      </c>
      <c r="I378" s="24"/>
      <c r="J378" s="241"/>
    </row>
    <row r="379" spans="2:10" x14ac:dyDescent="0.25">
      <c r="B379" s="242"/>
      <c r="C379" s="24"/>
      <c r="D379" s="24">
        <f t="shared" si="35"/>
        <v>352</v>
      </c>
      <c r="E379" s="244">
        <f t="shared" si="32"/>
        <v>2.1261194048994366E-9</v>
      </c>
      <c r="F379" s="244">
        <f t="shared" si="33"/>
        <v>1.9521143885396765E-11</v>
      </c>
      <c r="G379" s="244">
        <f t="shared" si="34"/>
        <v>-1.9521143885396765E-11</v>
      </c>
      <c r="H379" s="243">
        <f t="shared" si="36"/>
        <v>0</v>
      </c>
      <c r="I379" s="24"/>
      <c r="J379" s="241"/>
    </row>
    <row r="380" spans="2:10" x14ac:dyDescent="0.25">
      <c r="B380" s="242"/>
      <c r="C380" s="24"/>
      <c r="D380" s="24">
        <f t="shared" si="35"/>
        <v>353</v>
      </c>
      <c r="E380" s="244">
        <f t="shared" si="32"/>
        <v>2.1458214447181714E-9</v>
      </c>
      <c r="F380" s="244">
        <f t="shared" si="33"/>
        <v>1.9702039818734777E-11</v>
      </c>
      <c r="G380" s="244">
        <f t="shared" si="34"/>
        <v>-1.9702039818734777E-11</v>
      </c>
      <c r="H380" s="243">
        <f t="shared" si="36"/>
        <v>0</v>
      </c>
      <c r="I380" s="24"/>
      <c r="J380" s="241"/>
    </row>
    <row r="381" spans="2:10" x14ac:dyDescent="0.25">
      <c r="B381" s="242"/>
      <c r="C381" s="24"/>
      <c r="D381" s="24">
        <f t="shared" si="35"/>
        <v>354</v>
      </c>
      <c r="E381" s="244">
        <f t="shared" si="32"/>
        <v>2.1657060567725598E-9</v>
      </c>
      <c r="F381" s="244">
        <f t="shared" si="33"/>
        <v>1.9884612054388389E-11</v>
      </c>
      <c r="G381" s="244">
        <f t="shared" si="34"/>
        <v>-1.9884612054388389E-11</v>
      </c>
      <c r="H381" s="243">
        <f t="shared" si="36"/>
        <v>0</v>
      </c>
      <c r="I381" s="24"/>
      <c r="J381" s="241"/>
    </row>
    <row r="382" spans="2:10" x14ac:dyDescent="0.25">
      <c r="B382" s="242"/>
      <c r="C382" s="24"/>
      <c r="D382" s="24">
        <f t="shared" si="35"/>
        <v>355</v>
      </c>
      <c r="E382" s="244">
        <f t="shared" si="32"/>
        <v>2.185774932898652E-9</v>
      </c>
      <c r="F382" s="244">
        <f t="shared" si="33"/>
        <v>2.0068876126092387E-11</v>
      </c>
      <c r="G382" s="244">
        <f t="shared" si="34"/>
        <v>-2.0068876126092387E-11</v>
      </c>
      <c r="H382" s="243">
        <f t="shared" si="36"/>
        <v>0</v>
      </c>
      <c r="I382" s="24"/>
      <c r="J382" s="241"/>
    </row>
    <row r="383" spans="2:10" x14ac:dyDescent="0.25">
      <c r="B383" s="242"/>
      <c r="C383" s="24"/>
      <c r="D383" s="24">
        <f t="shared" si="35"/>
        <v>356</v>
      </c>
      <c r="E383" s="244">
        <f t="shared" si="32"/>
        <v>2.2060297806101796E-9</v>
      </c>
      <c r="F383" s="244">
        <f t="shared" si="33"/>
        <v>2.025484771152751E-11</v>
      </c>
      <c r="G383" s="244">
        <f t="shared" si="34"/>
        <v>-2.025484771152751E-11</v>
      </c>
      <c r="H383" s="243">
        <f t="shared" si="36"/>
        <v>0</v>
      </c>
      <c r="I383" s="24"/>
      <c r="J383" s="241"/>
    </row>
    <row r="384" spans="2:10" x14ac:dyDescent="0.25">
      <c r="B384" s="242"/>
      <c r="C384" s="24"/>
      <c r="D384" s="24">
        <f t="shared" si="35"/>
        <v>357</v>
      </c>
      <c r="E384" s="244">
        <f t="shared" si="32"/>
        <v>2.2264723232438339E-9</v>
      </c>
      <c r="F384" s="244">
        <f t="shared" si="33"/>
        <v>2.0442542633654331E-11</v>
      </c>
      <c r="G384" s="244">
        <f t="shared" si="34"/>
        <v>-2.0442542633654331E-11</v>
      </c>
      <c r="H384" s="243">
        <f t="shared" si="36"/>
        <v>0</v>
      </c>
      <c r="I384" s="24"/>
      <c r="J384" s="241"/>
    </row>
    <row r="385" spans="2:10" x14ac:dyDescent="0.25">
      <c r="B385" s="242"/>
      <c r="C385" s="24"/>
      <c r="D385" s="24">
        <f t="shared" si="35"/>
        <v>358</v>
      </c>
      <c r="E385" s="244">
        <f t="shared" si="32"/>
        <v>2.2471043001058935E-9</v>
      </c>
      <c r="F385" s="244">
        <f t="shared" si="33"/>
        <v>2.0631976862059527E-11</v>
      </c>
      <c r="G385" s="244">
        <f t="shared" si="34"/>
        <v>-2.0631976862059527E-11</v>
      </c>
      <c r="H385" s="243">
        <f t="shared" si="36"/>
        <v>0</v>
      </c>
      <c r="I385" s="24"/>
      <c r="J385" s="241"/>
    </row>
    <row r="386" spans="2:10" x14ac:dyDescent="0.25">
      <c r="B386" s="242"/>
      <c r="C386" s="24"/>
      <c r="D386" s="24">
        <f t="shared" si="35"/>
        <v>359</v>
      </c>
      <c r="E386" s="244">
        <f t="shared" si="32"/>
        <v>2.267927466620208E-9</v>
      </c>
      <c r="F386" s="244">
        <f t="shared" si="33"/>
        <v>2.0823166514314611E-11</v>
      </c>
      <c r="G386" s="244">
        <f t="shared" si="34"/>
        <v>-2.0823166514314611E-11</v>
      </c>
      <c r="H386" s="243">
        <f t="shared" si="36"/>
        <v>0</v>
      </c>
      <c r="I386" s="24"/>
      <c r="J386" s="241"/>
    </row>
    <row r="387" spans="2:10" x14ac:dyDescent="0.25">
      <c r="B387" s="242"/>
      <c r="C387" s="24"/>
      <c r="D387" s="24">
        <f t="shared" si="35"/>
        <v>360</v>
      </c>
      <c r="E387" s="244">
        <f t="shared" si="32"/>
        <v>2.2889435944775554E-9</v>
      </c>
      <c r="F387" s="244">
        <f t="shared" si="33"/>
        <v>2.1016127857347259E-11</v>
      </c>
      <c r="G387" s="244">
        <f t="shared" si="34"/>
        <v>-2.1016127857347259E-11</v>
      </c>
      <c r="H387" s="243">
        <f t="shared" si="36"/>
        <v>0</v>
      </c>
      <c r="I387" s="24"/>
      <c r="J387" s="241"/>
    </row>
    <row r="388" spans="2:10" ht="15.75" thickBot="1" x14ac:dyDescent="0.3">
      <c r="B388" s="246"/>
      <c r="C388" s="247"/>
      <c r="D388" s="247"/>
      <c r="E388" s="248"/>
      <c r="F388" s="248"/>
      <c r="G388" s="248"/>
      <c r="H388" s="249"/>
      <c r="I388" s="247"/>
      <c r="J388" s="250"/>
    </row>
    <row r="389" spans="2:10" x14ac:dyDescent="0.25">
      <c r="E389" s="97"/>
      <c r="F389" s="97"/>
      <c r="G389" s="97"/>
      <c r="H389" s="51"/>
    </row>
    <row r="390" spans="2:10" x14ac:dyDescent="0.25">
      <c r="E390" s="97"/>
      <c r="F390" s="97"/>
      <c r="G390" s="97"/>
      <c r="H390" s="51"/>
    </row>
    <row r="391" spans="2:10" x14ac:dyDescent="0.25">
      <c r="E391" s="97"/>
      <c r="F391" s="97"/>
      <c r="G391" s="97"/>
      <c r="H391" s="51"/>
    </row>
    <row r="392" spans="2:10" x14ac:dyDescent="0.25">
      <c r="E392" s="97"/>
      <c r="F392" s="97"/>
      <c r="G392" s="97"/>
      <c r="H392" s="51"/>
    </row>
    <row r="393" spans="2:10" x14ac:dyDescent="0.25">
      <c r="E393" s="97"/>
      <c r="F393" s="97"/>
      <c r="G393" s="97"/>
      <c r="H393" s="51"/>
    </row>
    <row r="394" spans="2:10" x14ac:dyDescent="0.25">
      <c r="E394" s="97"/>
      <c r="F394" s="97"/>
      <c r="G394" s="97"/>
      <c r="H394" s="51"/>
    </row>
    <row r="395" spans="2:10" x14ac:dyDescent="0.25">
      <c r="E395" s="97"/>
      <c r="F395" s="97"/>
      <c r="G395" s="97"/>
      <c r="H395" s="51"/>
    </row>
    <row r="396" spans="2:10" x14ac:dyDescent="0.25">
      <c r="E396" s="97"/>
      <c r="F396" s="97"/>
      <c r="G396" s="97"/>
      <c r="H396" s="51"/>
    </row>
    <row r="397" spans="2:10" x14ac:dyDescent="0.25">
      <c r="E397" s="97"/>
      <c r="F397" s="97"/>
      <c r="G397" s="97"/>
      <c r="H397" s="51"/>
    </row>
    <row r="398" spans="2:10" x14ac:dyDescent="0.25">
      <c r="E398" s="97"/>
      <c r="F398" s="97"/>
      <c r="G398" s="97"/>
      <c r="H398" s="51"/>
    </row>
    <row r="399" spans="2:10" x14ac:dyDescent="0.25">
      <c r="E399" s="97"/>
      <c r="F399" s="97"/>
      <c r="G399" s="97"/>
      <c r="H399" s="51"/>
    </row>
    <row r="400" spans="2:10" x14ac:dyDescent="0.25">
      <c r="E400" s="97"/>
      <c r="F400" s="97"/>
      <c r="G400" s="97"/>
      <c r="H400" s="51"/>
    </row>
    <row r="401" spans="5:8" x14ac:dyDescent="0.25">
      <c r="E401" s="97"/>
      <c r="F401" s="97"/>
      <c r="G401" s="97"/>
      <c r="H401" s="51"/>
    </row>
    <row r="402" spans="5:8" x14ac:dyDescent="0.25">
      <c r="E402" s="97"/>
      <c r="F402" s="97"/>
      <c r="G402" s="97"/>
      <c r="H402" s="51"/>
    </row>
    <row r="403" spans="5:8" x14ac:dyDescent="0.25">
      <c r="E403" s="97"/>
      <c r="F403" s="97"/>
      <c r="G403" s="97"/>
      <c r="H403" s="51"/>
    </row>
    <row r="404" spans="5:8" x14ac:dyDescent="0.25">
      <c r="E404" s="97"/>
      <c r="F404" s="97"/>
      <c r="G404" s="97"/>
      <c r="H404" s="51"/>
    </row>
    <row r="405" spans="5:8" x14ac:dyDescent="0.25">
      <c r="E405" s="97"/>
      <c r="F405" s="97"/>
      <c r="G405" s="97"/>
      <c r="H405" s="51"/>
    </row>
    <row r="406" spans="5:8" x14ac:dyDescent="0.25">
      <c r="E406" s="97"/>
      <c r="F406" s="97"/>
      <c r="G406" s="97"/>
      <c r="H406" s="51"/>
    </row>
    <row r="407" spans="5:8" x14ac:dyDescent="0.25">
      <c r="E407" s="97"/>
      <c r="F407" s="97"/>
      <c r="G407" s="97"/>
      <c r="H407" s="51"/>
    </row>
    <row r="408" spans="5:8" x14ac:dyDescent="0.25">
      <c r="E408" s="97"/>
      <c r="F408" s="97"/>
      <c r="G408" s="97"/>
      <c r="H408" s="51"/>
    </row>
    <row r="409" spans="5:8" x14ac:dyDescent="0.25">
      <c r="E409" s="97"/>
      <c r="F409" s="97"/>
      <c r="G409" s="97"/>
      <c r="H409" s="51"/>
    </row>
    <row r="410" spans="5:8" x14ac:dyDescent="0.25">
      <c r="E410" s="97"/>
      <c r="F410" s="97"/>
      <c r="G410" s="97"/>
      <c r="H410" s="51"/>
    </row>
    <row r="411" spans="5:8" x14ac:dyDescent="0.25">
      <c r="E411" s="97"/>
      <c r="F411" s="97"/>
      <c r="G411" s="97"/>
      <c r="H411" s="51"/>
    </row>
    <row r="412" spans="5:8" x14ac:dyDescent="0.25">
      <c r="E412" s="97"/>
      <c r="F412" s="97"/>
      <c r="G412" s="97"/>
      <c r="H412" s="51"/>
    </row>
    <row r="413" spans="5:8" x14ac:dyDescent="0.25">
      <c r="E413" s="97"/>
      <c r="F413" s="97"/>
      <c r="G413" s="97"/>
      <c r="H413" s="51"/>
    </row>
    <row r="414" spans="5:8" x14ac:dyDescent="0.25">
      <c r="E414" s="97"/>
      <c r="F414" s="97"/>
      <c r="G414" s="97"/>
      <c r="H414" s="51"/>
    </row>
    <row r="415" spans="5:8" x14ac:dyDescent="0.25">
      <c r="E415" s="97"/>
      <c r="F415" s="97"/>
      <c r="G415" s="97"/>
      <c r="H415" s="51"/>
    </row>
    <row r="416" spans="5:8" x14ac:dyDescent="0.25">
      <c r="E416" s="97"/>
      <c r="F416" s="97"/>
      <c r="G416" s="97"/>
      <c r="H416" s="51"/>
    </row>
    <row r="417" spans="5:8" x14ac:dyDescent="0.25">
      <c r="E417" s="97"/>
      <c r="F417" s="97"/>
      <c r="G417" s="97"/>
      <c r="H417" s="51"/>
    </row>
    <row r="418" spans="5:8" x14ac:dyDescent="0.25">
      <c r="E418" s="97"/>
      <c r="F418" s="97"/>
      <c r="G418" s="97"/>
      <c r="H418" s="51"/>
    </row>
    <row r="419" spans="5:8" x14ac:dyDescent="0.25">
      <c r="E419" s="97"/>
      <c r="F419" s="97"/>
      <c r="G419" s="97"/>
      <c r="H419" s="51"/>
    </row>
    <row r="420" spans="5:8" x14ac:dyDescent="0.25">
      <c r="E420" s="97"/>
      <c r="F420" s="97"/>
      <c r="G420" s="97"/>
      <c r="H420" s="51"/>
    </row>
    <row r="421" spans="5:8" x14ac:dyDescent="0.25">
      <c r="E421" s="97"/>
      <c r="F421" s="97"/>
      <c r="G421" s="97"/>
      <c r="H421" s="51"/>
    </row>
    <row r="422" spans="5:8" x14ac:dyDescent="0.25">
      <c r="E422" s="97"/>
      <c r="F422" s="97"/>
      <c r="G422" s="97"/>
      <c r="H422" s="51"/>
    </row>
    <row r="423" spans="5:8" x14ac:dyDescent="0.25">
      <c r="E423" s="97"/>
      <c r="F423" s="97"/>
      <c r="G423" s="97"/>
      <c r="H423" s="51"/>
    </row>
    <row r="424" spans="5:8" x14ac:dyDescent="0.25">
      <c r="E424" s="97"/>
      <c r="F424" s="97"/>
      <c r="G424" s="97"/>
      <c r="H424" s="51"/>
    </row>
    <row r="425" spans="5:8" x14ac:dyDescent="0.25">
      <c r="E425" s="97"/>
      <c r="F425" s="97"/>
      <c r="G425" s="97"/>
      <c r="H425" s="51"/>
    </row>
    <row r="426" spans="5:8" x14ac:dyDescent="0.25">
      <c r="E426" s="97"/>
      <c r="F426" s="97"/>
      <c r="G426" s="97"/>
      <c r="H426" s="51"/>
    </row>
    <row r="427" spans="5:8" x14ac:dyDescent="0.25">
      <c r="E427" s="97"/>
      <c r="F427" s="97"/>
      <c r="G427" s="97"/>
      <c r="H427" s="51"/>
    </row>
    <row r="428" spans="5:8" x14ac:dyDescent="0.25">
      <c r="E428" s="97"/>
      <c r="F428" s="97"/>
      <c r="G428" s="97"/>
      <c r="H428" s="51"/>
    </row>
    <row r="429" spans="5:8" x14ac:dyDescent="0.25">
      <c r="E429" s="97"/>
      <c r="F429" s="97"/>
      <c r="G429" s="97"/>
      <c r="H429" s="51"/>
    </row>
    <row r="430" spans="5:8" x14ac:dyDescent="0.25">
      <c r="E430" s="97"/>
      <c r="F430" s="97"/>
      <c r="G430" s="97"/>
      <c r="H430" s="51"/>
    </row>
    <row r="431" spans="5:8" x14ac:dyDescent="0.25">
      <c r="E431" s="97"/>
      <c r="F431" s="97"/>
      <c r="G431" s="97"/>
      <c r="H431" s="51"/>
    </row>
    <row r="432" spans="5:8" x14ac:dyDescent="0.25">
      <c r="E432" s="97"/>
      <c r="F432" s="97"/>
      <c r="G432" s="97"/>
      <c r="H432" s="51"/>
    </row>
    <row r="433" spans="5:8" x14ac:dyDescent="0.25">
      <c r="E433" s="97"/>
      <c r="F433" s="97"/>
      <c r="G433" s="97"/>
      <c r="H433" s="51"/>
    </row>
    <row r="434" spans="5:8" x14ac:dyDescent="0.25">
      <c r="E434" s="97"/>
      <c r="F434" s="97"/>
      <c r="G434" s="97"/>
      <c r="H434" s="51"/>
    </row>
    <row r="435" spans="5:8" x14ac:dyDescent="0.25">
      <c r="E435" s="97"/>
      <c r="F435" s="97"/>
      <c r="G435" s="97"/>
      <c r="H435" s="51"/>
    </row>
    <row r="436" spans="5:8" x14ac:dyDescent="0.25">
      <c r="E436" s="97"/>
      <c r="F436" s="97"/>
      <c r="G436" s="97"/>
      <c r="H436" s="51"/>
    </row>
    <row r="437" spans="5:8" x14ac:dyDescent="0.25">
      <c r="E437" s="97"/>
      <c r="F437" s="97"/>
      <c r="G437" s="97"/>
      <c r="H437" s="51"/>
    </row>
    <row r="438" spans="5:8" x14ac:dyDescent="0.25">
      <c r="E438" s="97"/>
      <c r="F438" s="97"/>
      <c r="G438" s="97"/>
      <c r="H438" s="51"/>
    </row>
    <row r="439" spans="5:8" x14ac:dyDescent="0.25">
      <c r="E439" s="97"/>
      <c r="F439" s="97"/>
      <c r="G439" s="97"/>
      <c r="H439" s="51"/>
    </row>
    <row r="440" spans="5:8" x14ac:dyDescent="0.25">
      <c r="E440" s="97"/>
      <c r="F440" s="97"/>
      <c r="G440" s="97"/>
      <c r="H440" s="51"/>
    </row>
    <row r="441" spans="5:8" x14ac:dyDescent="0.25">
      <c r="E441" s="97"/>
      <c r="F441" s="97"/>
      <c r="G441" s="97"/>
      <c r="H441" s="51"/>
    </row>
    <row r="442" spans="5:8" x14ac:dyDescent="0.25">
      <c r="E442" s="97"/>
      <c r="F442" s="97"/>
      <c r="G442" s="97"/>
      <c r="H442" s="51"/>
    </row>
    <row r="443" spans="5:8" x14ac:dyDescent="0.25">
      <c r="E443" s="97"/>
      <c r="F443" s="97"/>
      <c r="G443" s="97"/>
      <c r="H443" s="51"/>
    </row>
    <row r="444" spans="5:8" x14ac:dyDescent="0.25">
      <c r="E444" s="97"/>
      <c r="F444" s="97"/>
      <c r="G444" s="97"/>
      <c r="H444" s="51"/>
    </row>
    <row r="445" spans="5:8" x14ac:dyDescent="0.25">
      <c r="E445" s="97"/>
      <c r="F445" s="97"/>
      <c r="G445" s="97"/>
      <c r="H445" s="51"/>
    </row>
    <row r="446" spans="5:8" x14ac:dyDescent="0.25">
      <c r="E446" s="97"/>
      <c r="F446" s="97"/>
      <c r="G446" s="97"/>
      <c r="H446" s="51"/>
    </row>
    <row r="447" spans="5:8" x14ac:dyDescent="0.25">
      <c r="E447" s="97"/>
      <c r="F447" s="97"/>
      <c r="G447" s="97"/>
      <c r="H447" s="51"/>
    </row>
    <row r="448" spans="5:8" x14ac:dyDescent="0.25">
      <c r="E448" s="97"/>
      <c r="F448" s="97"/>
      <c r="G448" s="97"/>
      <c r="H448" s="51"/>
    </row>
  </sheetData>
  <sheetProtection algorithmName="SHA-512" hashValue="OSWiR//XEfzrXYIlENy4/p1xe3tjmb4EKNEb744+XLc6MbdDpEPcXJ8Aj4JgzBW8yHdC2I/aTXgqz/z8RtvNpw==" saltValue="MmLgXoRyj2T6D4qeZQS8tA==" spinCount="100000" sheet="1" objects="1" scenarios="1"/>
  <mergeCells count="18">
    <mergeCell ref="D8:E8"/>
    <mergeCell ref="D3:E3"/>
    <mergeCell ref="D4:E4"/>
    <mergeCell ref="D5:E5"/>
    <mergeCell ref="D6:E6"/>
    <mergeCell ref="D7:E7"/>
    <mergeCell ref="D9:E9"/>
    <mergeCell ref="D10:E10"/>
    <mergeCell ref="D13:E13"/>
    <mergeCell ref="D15:E15"/>
    <mergeCell ref="D16:E16"/>
    <mergeCell ref="B21:J21"/>
    <mergeCell ref="D19:E19"/>
    <mergeCell ref="D18:E18"/>
    <mergeCell ref="D14:E14"/>
    <mergeCell ref="D11:E11"/>
    <mergeCell ref="D12:E12"/>
    <mergeCell ref="D17:E17"/>
  </mergeCells>
  <conditionalFormatting sqref="E28:H387">
    <cfRule type="cellIs" dxfId="0" priority="4" operator="equal">
      <formula>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справочники!$A$2:$A$3</xm:f>
          </x14:formula1>
          <xm:sqref>D3:E3</xm:sqref>
        </x14:dataValidation>
        <x14:dataValidation type="list" allowBlank="1" showInputMessage="1" showErrorMessage="1">
          <x14:formula1>
            <xm:f>справочники!$P$2:$P$3</xm:f>
          </x14:formula1>
          <xm:sqref>D10:E10</xm:sqref>
        </x14:dataValidation>
        <x14:dataValidation type="list" allowBlank="1" showInputMessage="1" showErrorMessage="1">
          <x14:formula1>
            <xm:f>Комбо2!$A$6:$A$8</xm:f>
          </x14:formula1>
          <xm:sqref>D14:E14</xm:sqref>
        </x14:dataValidation>
        <x14:dataValidation type="list" allowBlank="1" showInputMessage="1" showErrorMessage="1">
          <x14:formula1>
            <xm:f>справочники!$J$2:$J$3</xm:f>
          </x14:formula1>
          <xm:sqref>D11:E11</xm:sqref>
        </x14:dataValidation>
        <x14:dataValidation type="list" allowBlank="1" showInputMessage="1" showErrorMessage="1">
          <x14:formula1>
            <xm:f>Комбо2!$A$10:$A$11</xm:f>
          </x14:formula1>
          <xm:sqref>D12:E12</xm:sqref>
        </x14:dataValidation>
        <x14:dataValidation type="list" allowBlank="1" showInputMessage="1" showErrorMessage="1">
          <x14:formula1>
            <xm:f>Комбо2!$A$3:$A$4</xm:f>
          </x14:formula1>
          <xm:sqref>D13:E13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A5" sqref="A5"/>
    </sheetView>
  </sheetViews>
  <sheetFormatPr defaultRowHeight="15" x14ac:dyDescent="0.25"/>
  <cols>
    <col min="1" max="1" width="32.28515625" customWidth="1"/>
    <col min="2" max="2" width="9.140625" customWidth="1"/>
  </cols>
  <sheetData>
    <row r="1" spans="1:8" x14ac:dyDescent="0.25">
      <c r="A1" s="156"/>
      <c r="B1" s="157" t="s">
        <v>128</v>
      </c>
      <c r="C1" s="157"/>
      <c r="D1" s="158"/>
      <c r="E1" s="159" t="s">
        <v>129</v>
      </c>
      <c r="F1" s="156"/>
      <c r="G1" s="28"/>
      <c r="H1" s="28"/>
    </row>
    <row r="2" spans="1:8" s="153" customFormat="1" ht="51" x14ac:dyDescent="0.2">
      <c r="A2" s="160"/>
      <c r="B2" s="161" t="s">
        <v>102</v>
      </c>
      <c r="C2" s="161" t="s">
        <v>103</v>
      </c>
      <c r="D2" s="162" t="s">
        <v>109</v>
      </c>
      <c r="E2" s="160" t="s">
        <v>102</v>
      </c>
      <c r="F2" s="160" t="s">
        <v>103</v>
      </c>
      <c r="G2" s="162" t="s">
        <v>115</v>
      </c>
      <c r="H2" s="162" t="s">
        <v>46</v>
      </c>
    </row>
    <row r="3" spans="1:8" x14ac:dyDescent="0.25">
      <c r="A3" s="156" t="s">
        <v>37</v>
      </c>
      <c r="B3" s="59">
        <v>12000000</v>
      </c>
      <c r="C3" s="59">
        <v>30000000</v>
      </c>
      <c r="D3" s="163">
        <v>0.06</v>
      </c>
      <c r="E3" s="156">
        <v>6000000</v>
      </c>
      <c r="F3" s="156">
        <v>15000000</v>
      </c>
      <c r="G3" s="163"/>
      <c r="H3" s="163"/>
    </row>
    <row r="4" spans="1:8" x14ac:dyDescent="0.25">
      <c r="A4" s="156" t="s">
        <v>151</v>
      </c>
      <c r="B4" s="59">
        <v>18000000</v>
      </c>
      <c r="C4" s="59">
        <v>30000000</v>
      </c>
      <c r="D4" s="163">
        <v>0.05</v>
      </c>
      <c r="E4" s="156">
        <v>9000000</v>
      </c>
      <c r="F4" s="156">
        <v>15000000</v>
      </c>
      <c r="G4" s="163"/>
      <c r="H4" s="164"/>
    </row>
    <row r="5" spans="1:8" ht="26.25" x14ac:dyDescent="0.25">
      <c r="A5" s="165"/>
      <c r="B5" s="166" t="s">
        <v>36</v>
      </c>
      <c r="C5" s="166" t="s">
        <v>49</v>
      </c>
      <c r="D5" s="166" t="s">
        <v>46</v>
      </c>
      <c r="E5" s="166" t="s">
        <v>48</v>
      </c>
      <c r="F5" s="154"/>
    </row>
    <row r="6" spans="1:8" x14ac:dyDescent="0.25">
      <c r="A6" s="28" t="s">
        <v>112</v>
      </c>
      <c r="B6" s="31">
        <v>0.17799999999999999</v>
      </c>
      <c r="C6" s="31">
        <v>0.17799999999999999</v>
      </c>
      <c r="D6" s="31"/>
      <c r="E6" s="167">
        <v>0.01</v>
      </c>
    </row>
    <row r="7" spans="1:8" x14ac:dyDescent="0.25">
      <c r="A7" s="28" t="s">
        <v>114</v>
      </c>
      <c r="B7" s="31">
        <v>0.17799999999999999</v>
      </c>
      <c r="C7" s="31">
        <v>0.17799999999999999</v>
      </c>
      <c r="D7" s="31"/>
      <c r="E7" s="167">
        <v>0.01</v>
      </c>
    </row>
    <row r="8" spans="1:8" x14ac:dyDescent="0.25">
      <c r="A8" s="28" t="s">
        <v>113</v>
      </c>
      <c r="B8" s="31">
        <v>0.17799999999999999</v>
      </c>
      <c r="C8" s="31">
        <v>0.17799999999999999</v>
      </c>
      <c r="D8" s="31"/>
      <c r="E8" s="167">
        <v>0.01</v>
      </c>
    </row>
    <row r="10" spans="1:8" x14ac:dyDescent="0.25">
      <c r="A10" s="28" t="s">
        <v>55</v>
      </c>
    </row>
    <row r="11" spans="1:8" x14ac:dyDescent="0.25">
      <c r="A11" s="28" t="s">
        <v>16</v>
      </c>
    </row>
    <row r="16" spans="1:8" ht="15.75" x14ac:dyDescent="0.25">
      <c r="A16" s="168" t="s">
        <v>101</v>
      </c>
      <c r="B16" s="28"/>
    </row>
    <row r="17" spans="1:5" x14ac:dyDescent="0.25">
      <c r="A17" s="28" t="str">
        <f>'Комбо (со средневзв. ставкой)'!D3</f>
        <v>Москва, Моск.обл., Санкт-Петербург, Лен.обл.</v>
      </c>
      <c r="B17" s="28">
        <f>IF(A17=B1,2,5)</f>
        <v>2</v>
      </c>
    </row>
    <row r="18" spans="1:5" x14ac:dyDescent="0.25">
      <c r="A18" s="28" t="str">
        <f>'Комбо (со средневзв. ставкой)'!D10</f>
        <v>Без страхования</v>
      </c>
      <c r="B18" s="28"/>
    </row>
    <row r="19" spans="1:5" x14ac:dyDescent="0.25">
      <c r="A19" s="28" t="str">
        <f>'Комбо (со средневзв. ставкой)'!D13</f>
        <v>Господдержка Семейная</v>
      </c>
      <c r="B19" s="28"/>
    </row>
    <row r="20" spans="1:5" x14ac:dyDescent="0.25">
      <c r="A20" s="28" t="str">
        <f>'Комбо (со средневзв. ставкой)'!D14</f>
        <v>Перспектива</v>
      </c>
      <c r="B20" s="28"/>
    </row>
    <row r="21" spans="1:5" x14ac:dyDescent="0.25">
      <c r="A21" s="28" t="s">
        <v>46</v>
      </c>
      <c r="B21" s="28" t="str">
        <f>'Комбо (со средневзв. ставкой)'!D11</f>
        <v>нет</v>
      </c>
    </row>
    <row r="22" spans="1:5" x14ac:dyDescent="0.25">
      <c r="A22" s="28" t="s">
        <v>117</v>
      </c>
      <c r="B22" s="28" t="str">
        <f>'Комбо (со средневзв. ставкой)'!D12</f>
        <v>нет</v>
      </c>
    </row>
    <row r="23" spans="1:5" x14ac:dyDescent="0.25">
      <c r="A23" s="28"/>
      <c r="B23" s="28"/>
      <c r="C23" s="166" t="s">
        <v>60</v>
      </c>
      <c r="D23" s="166" t="s">
        <v>118</v>
      </c>
      <c r="E23" s="166" t="s">
        <v>119</v>
      </c>
    </row>
    <row r="24" spans="1:5" x14ac:dyDescent="0.25">
      <c r="A24" s="54" t="s">
        <v>110</v>
      </c>
      <c r="B24" s="28">
        <f>VLOOKUP(A19,A3:F4,B17+1,0)</f>
        <v>30000000</v>
      </c>
      <c r="C24" s="28"/>
      <c r="D24" s="28"/>
      <c r="E24" s="28"/>
    </row>
    <row r="25" spans="1:5" x14ac:dyDescent="0.25">
      <c r="A25" s="53" t="s">
        <v>104</v>
      </c>
      <c r="B25" s="28">
        <f>VLOOKUP(A19,A3:F4,B17,0)</f>
        <v>12000000</v>
      </c>
      <c r="C25" s="28"/>
      <c r="D25" s="28"/>
      <c r="E25" s="28"/>
    </row>
    <row r="26" spans="1:5" x14ac:dyDescent="0.25">
      <c r="A26" s="53" t="s">
        <v>107</v>
      </c>
      <c r="B26" s="67">
        <f>VLOOKUP(A19,A3:D4,4,0)</f>
        <v>0.06</v>
      </c>
      <c r="C26" s="67">
        <f>IF(A18="Со страхованием",0,VLOOKUP(A19,$A$3:$H$4,7,0))</f>
        <v>0</v>
      </c>
      <c r="D26" s="67">
        <f>IF(B21="нет",0,VLOOKUP(A19,$A$3:$H$4,8,0))</f>
        <v>0</v>
      </c>
      <c r="E26" s="31">
        <f>SUM(B26:D26)</f>
        <v>0.06</v>
      </c>
    </row>
    <row r="27" spans="1:5" x14ac:dyDescent="0.25">
      <c r="A27" s="54" t="s">
        <v>106</v>
      </c>
      <c r="B27" s="67">
        <f>IF(B22="нет",VLOOKUP(A20,A6:E8,2,0),VLOOKUP(A20,A6:E8,3,0))</f>
        <v>0.17799999999999999</v>
      </c>
      <c r="C27" s="67">
        <f>IF(A18="Со страхованием",0,VLOOKUP(A20,A6:E8,5,0))</f>
        <v>0.01</v>
      </c>
      <c r="D27" s="67">
        <f>IF(B21="нет",0,VLOOKUP(A20,A6:E8,4,0))</f>
        <v>0</v>
      </c>
      <c r="E27" s="31">
        <f>SUM(B27:D27)</f>
        <v>0.188</v>
      </c>
    </row>
  </sheetData>
  <sheetProtection algorithmName="SHA-512" hashValue="yN2SDy9qmeGQIr556uioTsr8kxkRctwDcL29SFBx5vrnsnLWkXJbcGexSgV/IzthL7Wqs229IoQoVgLHGbmfJQ==" saltValue="5awlA2t5nlMINVGU9RYTBA==" spinCount="100000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97"/>
  <sheetViews>
    <sheetView workbookViewId="0">
      <selection activeCell="L23" sqref="L23"/>
    </sheetView>
  </sheetViews>
  <sheetFormatPr defaultRowHeight="15" outlineLevelCol="1" x14ac:dyDescent="0.25"/>
  <cols>
    <col min="1" max="1" width="9.140625" style="23"/>
    <col min="2" max="2" width="36.42578125" style="45" customWidth="1" outlineLevel="1"/>
    <col min="3" max="4" width="14.5703125" style="45" customWidth="1" outlineLevel="1"/>
    <col min="5" max="5" width="14.42578125" style="45" customWidth="1" outlineLevel="1"/>
    <col min="6" max="6" width="14.5703125" style="45" customWidth="1" outlineLevel="1"/>
    <col min="7" max="7" width="12" style="45" customWidth="1" outlineLevel="1"/>
    <col min="8" max="16384" width="9.140625" style="23"/>
  </cols>
  <sheetData>
    <row r="2" spans="2:7" x14ac:dyDescent="0.25">
      <c r="B2" s="45" t="s">
        <v>70</v>
      </c>
      <c r="C2" s="46">
        <f>'Ставка мечты'!G17</f>
        <v>5484939.4472621884</v>
      </c>
      <c r="E2" s="45" t="s">
        <v>75</v>
      </c>
      <c r="F2" s="46">
        <f>D12</f>
        <v>60618.99685258625</v>
      </c>
    </row>
    <row r="3" spans="2:7" x14ac:dyDescent="0.25">
      <c r="B3" s="45" t="s">
        <v>71</v>
      </c>
      <c r="C3" s="47">
        <f>'Ставка мечты'!D17</f>
        <v>5.8999999999999997E-2</v>
      </c>
      <c r="E3" s="45" t="s">
        <v>76</v>
      </c>
      <c r="F3" s="46">
        <f>IFERROR(VLOOKUP(C6+1,B12:D74,3,0),F2)</f>
        <v>60765.039919523697</v>
      </c>
    </row>
    <row r="4" spans="2:7" x14ac:dyDescent="0.25">
      <c r="B4" s="45" t="s">
        <v>72</v>
      </c>
      <c r="C4" s="47">
        <f>'Ставка мечты'!E17</f>
        <v>0.06</v>
      </c>
    </row>
    <row r="5" spans="2:7" x14ac:dyDescent="0.25">
      <c r="B5" s="45" t="s">
        <v>52</v>
      </c>
      <c r="C5" s="48">
        <f>'Ставка мечты'!E8</f>
        <v>120</v>
      </c>
    </row>
    <row r="6" spans="2:7" x14ac:dyDescent="0.25">
      <c r="B6" s="45" t="s">
        <v>1</v>
      </c>
      <c r="C6" s="48">
        <f>VLOOKUP(справочники!A12,справочники!A13:B16,2)</f>
        <v>60</v>
      </c>
    </row>
    <row r="7" spans="2:7" x14ac:dyDescent="0.25">
      <c r="B7" s="45" t="s">
        <v>15</v>
      </c>
      <c r="C7" s="46" t="str">
        <f>'Ставка мечты'!E11</f>
        <v>нет</v>
      </c>
    </row>
    <row r="8" spans="2:7" x14ac:dyDescent="0.25">
      <c r="B8" s="45" t="s">
        <v>17</v>
      </c>
      <c r="C8" s="46" t="str">
        <f>'Ставка мечты'!E12</f>
        <v>нет</v>
      </c>
    </row>
    <row r="9" spans="2:7" x14ac:dyDescent="0.25">
      <c r="B9" s="45" t="s">
        <v>18</v>
      </c>
      <c r="C9" s="46" t="str">
        <f>'Ставка мечты'!E13</f>
        <v>Со страхованием</v>
      </c>
      <c r="F9" s="46">
        <f>ROUND(SUM(F12:F372),2)</f>
        <v>1798102.76</v>
      </c>
    </row>
    <row r="10" spans="2:7" x14ac:dyDescent="0.25">
      <c r="B10" s="49"/>
      <c r="C10" s="49" t="s">
        <v>56</v>
      </c>
      <c r="D10" s="49" t="s">
        <v>68</v>
      </c>
      <c r="E10" s="49" t="s">
        <v>69</v>
      </c>
      <c r="F10" s="49" t="s">
        <v>73</v>
      </c>
      <c r="G10" s="49" t="s">
        <v>74</v>
      </c>
    </row>
    <row r="11" spans="2:7" x14ac:dyDescent="0.25">
      <c r="E11" s="46">
        <f>C2</f>
        <v>5484939.4472621884</v>
      </c>
    </row>
    <row r="12" spans="2:7" x14ac:dyDescent="0.25">
      <c r="B12" s="45">
        <v>1</v>
      </c>
      <c r="C12" s="50">
        <f t="shared" ref="C12:C75" si="0">IF(B12&gt;$C$6,$C$4,$C$3)</f>
        <v>5.8999999999999997E-2</v>
      </c>
      <c r="D12" s="51">
        <f>IF(B12&gt;C5,0,E11*(C12/12/(1-(1+C12/12)^(-(C5-B11)))))</f>
        <v>60618.99685258625</v>
      </c>
      <c r="E12" s="46">
        <f>E11-G12</f>
        <v>5451288.0693586413</v>
      </c>
      <c r="F12" s="46">
        <f>IF(B12&gt;$C$5,0,E11*C12/12)</f>
        <v>26967.618949039093</v>
      </c>
      <c r="G12" s="46">
        <f>D12-F12</f>
        <v>33651.377903547153</v>
      </c>
    </row>
    <row r="13" spans="2:7" x14ac:dyDescent="0.25">
      <c r="B13" s="45">
        <v>2</v>
      </c>
      <c r="C13" s="50">
        <f t="shared" si="0"/>
        <v>5.8999999999999997E-2</v>
      </c>
      <c r="D13" s="51">
        <f t="shared" ref="D13:D76" si="1">IF(B13&gt;$C$5,0,E12*(C13/12/(1-(1+C13/12)^(-($C$5-B12)))))</f>
        <v>60618.99685258625</v>
      </c>
      <c r="E13" s="46">
        <f>E12-G13</f>
        <v>5417471.2388470685</v>
      </c>
      <c r="F13" s="46">
        <f t="shared" ref="F13:F76" si="2">IF(B13&gt;$C$5,0,E12*C13/12)</f>
        <v>26802.166341013319</v>
      </c>
      <c r="G13" s="46">
        <f>D13-F13</f>
        <v>33816.830511572931</v>
      </c>
    </row>
    <row r="14" spans="2:7" x14ac:dyDescent="0.25">
      <c r="B14" s="45">
        <v>3</v>
      </c>
      <c r="C14" s="50">
        <f t="shared" si="0"/>
        <v>5.8999999999999997E-2</v>
      </c>
      <c r="D14" s="51">
        <f t="shared" si="1"/>
        <v>60618.99685258625</v>
      </c>
      <c r="E14" s="46">
        <f t="shared" ref="E14:E77" si="3">E13-G14</f>
        <v>5383488.1422521472</v>
      </c>
      <c r="F14" s="46">
        <f t="shared" si="2"/>
        <v>26635.900257664751</v>
      </c>
      <c r="G14" s="46">
        <f t="shared" ref="G14:G77" si="4">D14-F14</f>
        <v>33983.096594921502</v>
      </c>
    </row>
    <row r="15" spans="2:7" x14ac:dyDescent="0.25">
      <c r="B15" s="45">
        <v>4</v>
      </c>
      <c r="C15" s="50">
        <f t="shared" si="0"/>
        <v>5.8999999999999997E-2</v>
      </c>
      <c r="D15" s="51">
        <f t="shared" si="1"/>
        <v>60618.996852586257</v>
      </c>
      <c r="E15" s="46">
        <f t="shared" si="3"/>
        <v>5349337.9620989673</v>
      </c>
      <c r="F15" s="46">
        <f t="shared" si="2"/>
        <v>26468.81669940639</v>
      </c>
      <c r="G15" s="46">
        <f t="shared" si="4"/>
        <v>34150.18015317987</v>
      </c>
    </row>
    <row r="16" spans="2:7" x14ac:dyDescent="0.25">
      <c r="B16" s="45">
        <v>5</v>
      </c>
      <c r="C16" s="50">
        <f t="shared" si="0"/>
        <v>5.8999999999999997E-2</v>
      </c>
      <c r="D16" s="51">
        <f t="shared" si="1"/>
        <v>60618.996852586257</v>
      </c>
      <c r="E16" s="46">
        <f t="shared" si="3"/>
        <v>5315019.8768933676</v>
      </c>
      <c r="F16" s="46">
        <f t="shared" si="2"/>
        <v>26300.911646986588</v>
      </c>
      <c r="G16" s="46">
        <f t="shared" si="4"/>
        <v>34318.085205599666</v>
      </c>
    </row>
    <row r="17" spans="2:7" x14ac:dyDescent="0.25">
      <c r="B17" s="45">
        <v>6</v>
      </c>
      <c r="C17" s="50">
        <f t="shared" si="0"/>
        <v>5.8999999999999997E-2</v>
      </c>
      <c r="D17" s="51">
        <f t="shared" si="1"/>
        <v>60618.996852586242</v>
      </c>
      <c r="E17" s="46">
        <f t="shared" si="3"/>
        <v>5280533.0611021742</v>
      </c>
      <c r="F17" s="46">
        <f t="shared" si="2"/>
        <v>26132.181061392388</v>
      </c>
      <c r="G17" s="46">
        <f t="shared" si="4"/>
        <v>34486.815791193854</v>
      </c>
    </row>
    <row r="18" spans="2:7" x14ac:dyDescent="0.25">
      <c r="B18" s="45">
        <v>7</v>
      </c>
      <c r="C18" s="50">
        <f t="shared" si="0"/>
        <v>5.8999999999999997E-2</v>
      </c>
      <c r="D18" s="51">
        <f t="shared" si="1"/>
        <v>60618.996852586257</v>
      </c>
      <c r="E18" s="46">
        <f t="shared" si="3"/>
        <v>5245876.6851333408</v>
      </c>
      <c r="F18" s="46">
        <f t="shared" si="2"/>
        <v>25962.620883752355</v>
      </c>
      <c r="G18" s="46">
        <f t="shared" si="4"/>
        <v>34656.375968833905</v>
      </c>
    </row>
    <row r="19" spans="2:7" x14ac:dyDescent="0.25">
      <c r="B19" s="45">
        <v>8</v>
      </c>
      <c r="C19" s="50">
        <f t="shared" si="0"/>
        <v>5.8999999999999997E-2</v>
      </c>
      <c r="D19" s="51">
        <f t="shared" si="1"/>
        <v>60618.996852586271</v>
      </c>
      <c r="E19" s="46">
        <f t="shared" si="3"/>
        <v>5211049.9153159931</v>
      </c>
      <c r="F19" s="46">
        <f t="shared" si="2"/>
        <v>25792.227035238921</v>
      </c>
      <c r="G19" s="46">
        <f t="shared" si="4"/>
        <v>34826.769817347347</v>
      </c>
    </row>
    <row r="20" spans="2:7" x14ac:dyDescent="0.25">
      <c r="B20" s="45">
        <v>9</v>
      </c>
      <c r="C20" s="50">
        <f t="shared" si="0"/>
        <v>5.8999999999999997E-2</v>
      </c>
      <c r="D20" s="51">
        <f t="shared" si="1"/>
        <v>60618.996852586257</v>
      </c>
      <c r="E20" s="46">
        <f t="shared" si="3"/>
        <v>5176051.9138803771</v>
      </c>
      <c r="F20" s="46">
        <f t="shared" si="2"/>
        <v>25620.995416970298</v>
      </c>
      <c r="G20" s="46">
        <f t="shared" si="4"/>
        <v>34998.001435615959</v>
      </c>
    </row>
    <row r="21" spans="2:7" x14ac:dyDescent="0.25">
      <c r="B21" s="45">
        <v>10</v>
      </c>
      <c r="C21" s="50">
        <f t="shared" si="0"/>
        <v>5.8999999999999997E-2</v>
      </c>
      <c r="D21" s="51">
        <f t="shared" si="1"/>
        <v>60618.996852586257</v>
      </c>
      <c r="E21" s="46">
        <f t="shared" si="3"/>
        <v>5140881.8389377026</v>
      </c>
      <c r="F21" s="46">
        <f t="shared" si="2"/>
        <v>25448.921909911853</v>
      </c>
      <c r="G21" s="46">
        <f t="shared" si="4"/>
        <v>35170.074942674401</v>
      </c>
    </row>
    <row r="22" spans="2:7" x14ac:dyDescent="0.25">
      <c r="B22" s="45">
        <v>11</v>
      </c>
      <c r="C22" s="50">
        <f t="shared" si="0"/>
        <v>5.8999999999999997E-2</v>
      </c>
      <c r="D22" s="51">
        <f t="shared" si="1"/>
        <v>60618.99685258625</v>
      </c>
      <c r="E22" s="46">
        <f t="shared" si="3"/>
        <v>5105538.8444598932</v>
      </c>
      <c r="F22" s="46">
        <f t="shared" si="2"/>
        <v>25276.002374777036</v>
      </c>
      <c r="G22" s="46">
        <f t="shared" si="4"/>
        <v>35342.994477809218</v>
      </c>
    </row>
    <row r="23" spans="2:7" x14ac:dyDescent="0.25">
      <c r="B23" s="45">
        <v>12</v>
      </c>
      <c r="C23" s="50">
        <f t="shared" si="0"/>
        <v>5.8999999999999997E-2</v>
      </c>
      <c r="D23" s="51">
        <f t="shared" si="1"/>
        <v>60618.996852586271</v>
      </c>
      <c r="E23" s="46">
        <f t="shared" si="3"/>
        <v>5070022.0802592346</v>
      </c>
      <c r="F23" s="46">
        <f t="shared" si="2"/>
        <v>25102.23265192781</v>
      </c>
      <c r="G23" s="46">
        <f t="shared" si="4"/>
        <v>35516.764200658465</v>
      </c>
    </row>
    <row r="24" spans="2:7" x14ac:dyDescent="0.25">
      <c r="B24" s="45">
        <v>13</v>
      </c>
      <c r="C24" s="50">
        <f t="shared" si="0"/>
        <v>5.8999999999999997E-2</v>
      </c>
      <c r="D24" s="51">
        <f t="shared" si="1"/>
        <v>60618.996852586257</v>
      </c>
      <c r="E24" s="46">
        <f t="shared" si="3"/>
        <v>5034330.6919679232</v>
      </c>
      <c r="F24" s="46">
        <f t="shared" si="2"/>
        <v>24927.60856127457</v>
      </c>
      <c r="G24" s="46">
        <f t="shared" si="4"/>
        <v>35691.388291311683</v>
      </c>
    </row>
    <row r="25" spans="2:7" x14ac:dyDescent="0.25">
      <c r="B25" s="45">
        <v>14</v>
      </c>
      <c r="C25" s="50">
        <f t="shared" si="0"/>
        <v>5.8999999999999997E-2</v>
      </c>
      <c r="D25" s="51">
        <f t="shared" si="1"/>
        <v>60618.99685258625</v>
      </c>
      <c r="E25" s="46">
        <f t="shared" si="3"/>
        <v>4998463.8210175121</v>
      </c>
      <c r="F25" s="46">
        <f t="shared" si="2"/>
        <v>24752.125902175623</v>
      </c>
      <c r="G25" s="46">
        <f t="shared" si="4"/>
        <v>35866.870950410623</v>
      </c>
    </row>
    <row r="26" spans="2:7" x14ac:dyDescent="0.25">
      <c r="B26" s="45">
        <v>15</v>
      </c>
      <c r="C26" s="50">
        <f t="shared" si="0"/>
        <v>5.8999999999999997E-2</v>
      </c>
      <c r="D26" s="51">
        <f t="shared" si="1"/>
        <v>60618.996852586271</v>
      </c>
      <c r="E26" s="46">
        <f t="shared" si="3"/>
        <v>4962420.6046182616</v>
      </c>
      <c r="F26" s="46">
        <f t="shared" si="2"/>
        <v>24575.780453336101</v>
      </c>
      <c r="G26" s="46">
        <f t="shared" si="4"/>
        <v>36043.216399250174</v>
      </c>
    </row>
    <row r="27" spans="2:7" x14ac:dyDescent="0.25">
      <c r="B27" s="45">
        <v>16</v>
      </c>
      <c r="C27" s="50">
        <f t="shared" si="0"/>
        <v>5.8999999999999997E-2</v>
      </c>
      <c r="D27" s="51">
        <f t="shared" si="1"/>
        <v>60618.99685258625</v>
      </c>
      <c r="E27" s="46">
        <f t="shared" si="3"/>
        <v>4926200.1757383822</v>
      </c>
      <c r="F27" s="46">
        <f t="shared" si="2"/>
        <v>24398.567972706453</v>
      </c>
      <c r="G27" s="46">
        <f t="shared" si="4"/>
        <v>36220.428879879793</v>
      </c>
    </row>
    <row r="28" spans="2:7" x14ac:dyDescent="0.25">
      <c r="B28" s="45">
        <v>17</v>
      </c>
      <c r="C28" s="50">
        <f t="shared" si="0"/>
        <v>5.8999999999999997E-2</v>
      </c>
      <c r="D28" s="51">
        <f t="shared" si="1"/>
        <v>60618.996852586257</v>
      </c>
      <c r="E28" s="46">
        <f t="shared" si="3"/>
        <v>4889801.6630831761</v>
      </c>
      <c r="F28" s="46">
        <f t="shared" si="2"/>
        <v>24220.484197380374</v>
      </c>
      <c r="G28" s="46">
        <f t="shared" si="4"/>
        <v>36398.512655205879</v>
      </c>
    </row>
    <row r="29" spans="2:7" x14ac:dyDescent="0.25">
      <c r="B29" s="45">
        <v>18</v>
      </c>
      <c r="C29" s="50">
        <f t="shared" si="0"/>
        <v>5.8999999999999997E-2</v>
      </c>
      <c r="D29" s="51">
        <f t="shared" si="1"/>
        <v>60618.99685258625</v>
      </c>
      <c r="E29" s="46">
        <f t="shared" si="3"/>
        <v>4853224.1910740826</v>
      </c>
      <c r="F29" s="46">
        <f t="shared" si="2"/>
        <v>24041.524843492283</v>
      </c>
      <c r="G29" s="46">
        <f t="shared" si="4"/>
        <v>36577.472009093966</v>
      </c>
    </row>
    <row r="30" spans="2:7" x14ac:dyDescent="0.25">
      <c r="B30" s="45">
        <v>19</v>
      </c>
      <c r="C30" s="50">
        <f t="shared" si="0"/>
        <v>5.8999999999999997E-2</v>
      </c>
      <c r="D30" s="51">
        <f t="shared" si="1"/>
        <v>60618.996852586257</v>
      </c>
      <c r="E30" s="46">
        <f t="shared" si="3"/>
        <v>4816466.8798276102</v>
      </c>
      <c r="F30" s="46">
        <f t="shared" si="2"/>
        <v>23861.685606114235</v>
      </c>
      <c r="G30" s="46">
        <f t="shared" si="4"/>
        <v>36757.311246472018</v>
      </c>
    </row>
    <row r="31" spans="2:7" x14ac:dyDescent="0.25">
      <c r="B31" s="45">
        <v>20</v>
      </c>
      <c r="C31" s="50">
        <f t="shared" si="0"/>
        <v>5.8999999999999997E-2</v>
      </c>
      <c r="D31" s="51">
        <f t="shared" si="1"/>
        <v>60618.996852586279</v>
      </c>
      <c r="E31" s="46">
        <f t="shared" si="3"/>
        <v>4779528.8451341763</v>
      </c>
      <c r="F31" s="46">
        <f t="shared" si="2"/>
        <v>23680.962159152416</v>
      </c>
      <c r="G31" s="46">
        <f t="shared" si="4"/>
        <v>36938.03469343386</v>
      </c>
    </row>
    <row r="32" spans="2:7" x14ac:dyDescent="0.25">
      <c r="B32" s="45">
        <v>21</v>
      </c>
      <c r="C32" s="50">
        <f t="shared" si="0"/>
        <v>5.8999999999999997E-2</v>
      </c>
      <c r="D32" s="51">
        <f t="shared" si="1"/>
        <v>60618.99685258625</v>
      </c>
      <c r="E32" s="46">
        <f t="shared" si="3"/>
        <v>4742409.198436833</v>
      </c>
      <c r="F32" s="46">
        <f t="shared" si="2"/>
        <v>23499.350155243035</v>
      </c>
      <c r="G32" s="46">
        <f t="shared" si="4"/>
        <v>37119.646697343211</v>
      </c>
    </row>
    <row r="33" spans="2:7" x14ac:dyDescent="0.25">
      <c r="B33" s="45">
        <v>22</v>
      </c>
      <c r="C33" s="50">
        <f t="shared" si="0"/>
        <v>5.8999999999999997E-2</v>
      </c>
      <c r="D33" s="51">
        <f t="shared" si="1"/>
        <v>60618.99685258625</v>
      </c>
      <c r="E33" s="46">
        <f t="shared" si="3"/>
        <v>4705107.046809895</v>
      </c>
      <c r="F33" s="46">
        <f t="shared" si="2"/>
        <v>23316.845225647761</v>
      </c>
      <c r="G33" s="46">
        <f t="shared" si="4"/>
        <v>37302.151626938488</v>
      </c>
    </row>
    <row r="34" spans="2:7" x14ac:dyDescent="0.25">
      <c r="B34" s="45">
        <v>23</v>
      </c>
      <c r="C34" s="50">
        <f t="shared" si="0"/>
        <v>5.8999999999999997E-2</v>
      </c>
      <c r="D34" s="51">
        <f t="shared" si="1"/>
        <v>60618.996852586257</v>
      </c>
      <c r="E34" s="46">
        <f t="shared" si="3"/>
        <v>4667621.4929374577</v>
      </c>
      <c r="F34" s="46">
        <f t="shared" si="2"/>
        <v>23133.442980148651</v>
      </c>
      <c r="G34" s="46">
        <f t="shared" si="4"/>
        <v>37485.553872437609</v>
      </c>
    </row>
    <row r="35" spans="2:7" x14ac:dyDescent="0.25">
      <c r="B35" s="45">
        <v>24</v>
      </c>
      <c r="C35" s="50">
        <f t="shared" si="0"/>
        <v>5.8999999999999997E-2</v>
      </c>
      <c r="D35" s="51">
        <f t="shared" si="1"/>
        <v>60618.996852586264</v>
      </c>
      <c r="E35" s="46">
        <f t="shared" si="3"/>
        <v>4629951.6350918142</v>
      </c>
      <c r="F35" s="46">
        <f t="shared" si="2"/>
        <v>22949.1390069425</v>
      </c>
      <c r="G35" s="46">
        <f t="shared" si="4"/>
        <v>37669.857845643768</v>
      </c>
    </row>
    <row r="36" spans="2:7" x14ac:dyDescent="0.25">
      <c r="B36" s="45">
        <v>25</v>
      </c>
      <c r="C36" s="50">
        <f t="shared" si="0"/>
        <v>5.8999999999999997E-2</v>
      </c>
      <c r="D36" s="51">
        <f t="shared" si="1"/>
        <v>60618.996852586264</v>
      </c>
      <c r="E36" s="46">
        <f t="shared" si="3"/>
        <v>4592096.5671117622</v>
      </c>
      <c r="F36" s="46">
        <f t="shared" si="2"/>
        <v>22763.928872534754</v>
      </c>
      <c r="G36" s="46">
        <f t="shared" si="4"/>
        <v>37855.067980051506</v>
      </c>
    </row>
    <row r="37" spans="2:7" x14ac:dyDescent="0.25">
      <c r="B37" s="45">
        <v>26</v>
      </c>
      <c r="C37" s="50">
        <f t="shared" si="0"/>
        <v>5.8999999999999997E-2</v>
      </c>
      <c r="D37" s="51">
        <f t="shared" si="1"/>
        <v>60618.996852586264</v>
      </c>
      <c r="E37" s="46">
        <f t="shared" si="3"/>
        <v>4554055.378380809</v>
      </c>
      <c r="F37" s="46">
        <f t="shared" si="2"/>
        <v>22577.808121632828</v>
      </c>
      <c r="G37" s="46">
        <f t="shared" si="4"/>
        <v>38041.188730953436</v>
      </c>
    </row>
    <row r="38" spans="2:7" x14ac:dyDescent="0.25">
      <c r="B38" s="45">
        <v>27</v>
      </c>
      <c r="C38" s="50">
        <f t="shared" si="0"/>
        <v>5.8999999999999997E-2</v>
      </c>
      <c r="D38" s="51">
        <f t="shared" si="1"/>
        <v>60618.996852586264</v>
      </c>
      <c r="E38" s="46">
        <f t="shared" si="3"/>
        <v>4515827.1538052615</v>
      </c>
      <c r="F38" s="46">
        <f t="shared" si="2"/>
        <v>22390.772277038977</v>
      </c>
      <c r="G38" s="46">
        <f t="shared" si="4"/>
        <v>38228.224575547283</v>
      </c>
    </row>
    <row r="39" spans="2:7" x14ac:dyDescent="0.25">
      <c r="B39" s="45">
        <v>28</v>
      </c>
      <c r="C39" s="50">
        <f t="shared" si="0"/>
        <v>5.8999999999999997E-2</v>
      </c>
      <c r="D39" s="51">
        <f t="shared" si="1"/>
        <v>60618.996852586264</v>
      </c>
      <c r="E39" s="46">
        <f t="shared" si="3"/>
        <v>4477410.9737922177</v>
      </c>
      <c r="F39" s="46">
        <f t="shared" si="2"/>
        <v>22202.816839542535</v>
      </c>
      <c r="G39" s="46">
        <f t="shared" si="4"/>
        <v>38416.180013043733</v>
      </c>
    </row>
    <row r="40" spans="2:7" x14ac:dyDescent="0.25">
      <c r="B40" s="45">
        <v>29</v>
      </c>
      <c r="C40" s="50">
        <f t="shared" si="0"/>
        <v>5.8999999999999997E-2</v>
      </c>
      <c r="D40" s="51">
        <f t="shared" si="1"/>
        <v>60618.996852586264</v>
      </c>
      <c r="E40" s="46">
        <f t="shared" si="3"/>
        <v>4438805.9142274428</v>
      </c>
      <c r="F40" s="46">
        <f t="shared" si="2"/>
        <v>22013.937287811739</v>
      </c>
      <c r="G40" s="46">
        <f t="shared" si="4"/>
        <v>38605.059564774521</v>
      </c>
    </row>
    <row r="41" spans="2:7" x14ac:dyDescent="0.25">
      <c r="B41" s="45">
        <v>30</v>
      </c>
      <c r="C41" s="50">
        <f t="shared" si="0"/>
        <v>5.8999999999999997E-2</v>
      </c>
      <c r="D41" s="51">
        <f t="shared" si="1"/>
        <v>60618.996852586242</v>
      </c>
      <c r="E41" s="46">
        <f t="shared" si="3"/>
        <v>4400011.0464531416</v>
      </c>
      <c r="F41" s="46">
        <f t="shared" si="2"/>
        <v>21824.129078284928</v>
      </c>
      <c r="G41" s="46">
        <f t="shared" si="4"/>
        <v>38794.86777430131</v>
      </c>
    </row>
    <row r="42" spans="2:7" x14ac:dyDescent="0.25">
      <c r="B42" s="45">
        <v>31</v>
      </c>
      <c r="C42" s="50">
        <f t="shared" si="0"/>
        <v>5.8999999999999997E-2</v>
      </c>
      <c r="D42" s="51">
        <f t="shared" si="1"/>
        <v>60618.996852586257</v>
      </c>
      <c r="E42" s="46">
        <f t="shared" si="3"/>
        <v>4361025.4372456167</v>
      </c>
      <c r="F42" s="46">
        <f t="shared" si="2"/>
        <v>21633.387645061277</v>
      </c>
      <c r="G42" s="46">
        <f t="shared" si="4"/>
        <v>38985.609207524976</v>
      </c>
    </row>
    <row r="43" spans="2:7" x14ac:dyDescent="0.25">
      <c r="B43" s="45">
        <v>32</v>
      </c>
      <c r="C43" s="50">
        <f t="shared" si="0"/>
        <v>5.8999999999999997E-2</v>
      </c>
      <c r="D43" s="51">
        <f t="shared" si="1"/>
        <v>60618.996852586257</v>
      </c>
      <c r="E43" s="46">
        <f t="shared" si="3"/>
        <v>4321848.148792821</v>
      </c>
      <c r="F43" s="46">
        <f t="shared" si="2"/>
        <v>21441.708399790947</v>
      </c>
      <c r="G43" s="46">
        <f t="shared" si="4"/>
        <v>39177.288452795314</v>
      </c>
    </row>
    <row r="44" spans="2:7" x14ac:dyDescent="0.25">
      <c r="B44" s="45">
        <v>33</v>
      </c>
      <c r="C44" s="50">
        <f t="shared" si="0"/>
        <v>5.8999999999999997E-2</v>
      </c>
      <c r="D44" s="51">
        <f t="shared" si="1"/>
        <v>60618.996852586264</v>
      </c>
      <c r="E44" s="46">
        <f t="shared" si="3"/>
        <v>4282478.2386717992</v>
      </c>
      <c r="F44" s="46">
        <f t="shared" si="2"/>
        <v>21249.086731564701</v>
      </c>
      <c r="G44" s="46">
        <f t="shared" si="4"/>
        <v>39369.910121021559</v>
      </c>
    </row>
    <row r="45" spans="2:7" x14ac:dyDescent="0.25">
      <c r="B45" s="45">
        <v>34</v>
      </c>
      <c r="C45" s="50">
        <f t="shared" si="0"/>
        <v>5.8999999999999997E-2</v>
      </c>
      <c r="D45" s="51">
        <f t="shared" si="1"/>
        <v>60618.99685258625</v>
      </c>
      <c r="E45" s="46">
        <f t="shared" si="3"/>
        <v>4242914.7598260157</v>
      </c>
      <c r="F45" s="46">
        <f t="shared" si="2"/>
        <v>21055.518006803013</v>
      </c>
      <c r="G45" s="46">
        <f t="shared" si="4"/>
        <v>39563.478845783233</v>
      </c>
    </row>
    <row r="46" spans="2:7" x14ac:dyDescent="0.25">
      <c r="B46" s="45">
        <v>35</v>
      </c>
      <c r="C46" s="50">
        <f t="shared" si="0"/>
        <v>5.8999999999999997E-2</v>
      </c>
      <c r="D46" s="51">
        <f t="shared" si="1"/>
        <v>60618.996852586242</v>
      </c>
      <c r="E46" s="46">
        <f t="shared" si="3"/>
        <v>4203156.7605425743</v>
      </c>
      <c r="F46" s="46">
        <f t="shared" si="2"/>
        <v>20860.997569144576</v>
      </c>
      <c r="G46" s="46">
        <f t="shared" si="4"/>
        <v>39757.999283441663</v>
      </c>
    </row>
    <row r="47" spans="2:7" x14ac:dyDescent="0.25">
      <c r="B47" s="45">
        <v>36</v>
      </c>
      <c r="C47" s="50">
        <f t="shared" si="0"/>
        <v>5.8999999999999997E-2</v>
      </c>
      <c r="D47" s="51">
        <f t="shared" si="1"/>
        <v>60618.996852586264</v>
      </c>
      <c r="E47" s="46">
        <f t="shared" si="3"/>
        <v>4163203.2844293225</v>
      </c>
      <c r="F47" s="46">
        <f t="shared" si="2"/>
        <v>20665.520739334323</v>
      </c>
      <c r="G47" s="46">
        <f t="shared" si="4"/>
        <v>39953.476113251942</v>
      </c>
    </row>
    <row r="48" spans="2:7" x14ac:dyDescent="0.25">
      <c r="B48" s="45">
        <v>37</v>
      </c>
      <c r="C48" s="50">
        <f t="shared" si="0"/>
        <v>5.8999999999999997E-2</v>
      </c>
      <c r="D48" s="51">
        <f t="shared" si="1"/>
        <v>60618.99685258625</v>
      </c>
      <c r="E48" s="46">
        <f t="shared" si="3"/>
        <v>4123053.3703918471</v>
      </c>
      <c r="F48" s="46">
        <f t="shared" si="2"/>
        <v>20469.082815110833</v>
      </c>
      <c r="G48" s="46">
        <f t="shared" si="4"/>
        <v>40149.914037475421</v>
      </c>
    </row>
    <row r="49" spans="2:7" x14ac:dyDescent="0.25">
      <c r="B49" s="45">
        <v>38</v>
      </c>
      <c r="C49" s="50">
        <f t="shared" si="0"/>
        <v>5.8999999999999997E-2</v>
      </c>
      <c r="D49" s="51">
        <f t="shared" si="1"/>
        <v>60618.996852586264</v>
      </c>
      <c r="E49" s="46">
        <f t="shared" si="3"/>
        <v>4082706.052610354</v>
      </c>
      <c r="F49" s="46">
        <f t="shared" si="2"/>
        <v>20271.679071093247</v>
      </c>
      <c r="G49" s="46">
        <f t="shared" si="4"/>
        <v>40347.317781493017</v>
      </c>
    </row>
    <row r="50" spans="2:7" x14ac:dyDescent="0.25">
      <c r="B50" s="45">
        <v>39</v>
      </c>
      <c r="C50" s="50">
        <f t="shared" si="0"/>
        <v>5.8999999999999997E-2</v>
      </c>
      <c r="D50" s="51">
        <f t="shared" si="1"/>
        <v>60618.996852586257</v>
      </c>
      <c r="E50" s="46">
        <f t="shared" si="3"/>
        <v>4042160.3605164355</v>
      </c>
      <c r="F50" s="46">
        <f t="shared" si="2"/>
        <v>20073.304758667571</v>
      </c>
      <c r="G50" s="46">
        <f t="shared" si="4"/>
        <v>40545.692093918682</v>
      </c>
    </row>
    <row r="51" spans="2:7" x14ac:dyDescent="0.25">
      <c r="B51" s="45">
        <v>40</v>
      </c>
      <c r="C51" s="50">
        <f t="shared" si="0"/>
        <v>5.8999999999999997E-2</v>
      </c>
      <c r="D51" s="51">
        <f t="shared" si="1"/>
        <v>60618.996852586242</v>
      </c>
      <c r="E51" s="46">
        <f t="shared" si="3"/>
        <v>4001415.3187697218</v>
      </c>
      <c r="F51" s="46">
        <f t="shared" si="2"/>
        <v>19873.955105872472</v>
      </c>
      <c r="G51" s="46">
        <f t="shared" si="4"/>
        <v>40745.041746713774</v>
      </c>
    </row>
    <row r="52" spans="2:7" x14ac:dyDescent="0.25">
      <c r="B52" s="45">
        <v>41</v>
      </c>
      <c r="C52" s="50">
        <f t="shared" si="0"/>
        <v>5.8999999999999997E-2</v>
      </c>
      <c r="D52" s="51">
        <f t="shared" si="1"/>
        <v>60618.99685258625</v>
      </c>
      <c r="E52" s="46">
        <f t="shared" si="3"/>
        <v>3960469.9472344201</v>
      </c>
      <c r="F52" s="46">
        <f t="shared" si="2"/>
        <v>19673.625317284463</v>
      </c>
      <c r="G52" s="46">
        <f t="shared" si="4"/>
        <v>40945.371535301791</v>
      </c>
    </row>
    <row r="53" spans="2:7" x14ac:dyDescent="0.25">
      <c r="B53" s="45">
        <v>42</v>
      </c>
      <c r="C53" s="50">
        <f t="shared" si="0"/>
        <v>5.8999999999999997E-2</v>
      </c>
      <c r="D53" s="51">
        <f t="shared" si="1"/>
        <v>60618.996852586279</v>
      </c>
      <c r="E53" s="46">
        <f t="shared" si="3"/>
        <v>3919323.2609557365</v>
      </c>
      <c r="F53" s="46">
        <f t="shared" si="2"/>
        <v>19472.310573902567</v>
      </c>
      <c r="G53" s="46">
        <f t="shared" si="4"/>
        <v>41146.686278683715</v>
      </c>
    </row>
    <row r="54" spans="2:7" x14ac:dyDescent="0.25">
      <c r="B54" s="45">
        <v>43</v>
      </c>
      <c r="C54" s="50">
        <f t="shared" si="0"/>
        <v>5.8999999999999997E-2</v>
      </c>
      <c r="D54" s="51">
        <f t="shared" si="1"/>
        <v>60618.99685258625</v>
      </c>
      <c r="E54" s="46">
        <f t="shared" si="3"/>
        <v>3877974.2701361827</v>
      </c>
      <c r="F54" s="46">
        <f t="shared" si="2"/>
        <v>19270.006033032372</v>
      </c>
      <c r="G54" s="46">
        <f t="shared" si="4"/>
        <v>41348.990819553874</v>
      </c>
    </row>
    <row r="55" spans="2:7" x14ac:dyDescent="0.25">
      <c r="B55" s="45">
        <v>44</v>
      </c>
      <c r="C55" s="50">
        <f t="shared" si="0"/>
        <v>5.8999999999999997E-2</v>
      </c>
      <c r="D55" s="51">
        <f t="shared" si="1"/>
        <v>60618.996852586279</v>
      </c>
      <c r="E55" s="46">
        <f t="shared" si="3"/>
        <v>3836421.9801117661</v>
      </c>
      <c r="F55" s="46">
        <f t="shared" si="2"/>
        <v>19066.706828169565</v>
      </c>
      <c r="G55" s="46">
        <f t="shared" si="4"/>
        <v>41552.29002441671</v>
      </c>
    </row>
    <row r="56" spans="2:7" x14ac:dyDescent="0.25">
      <c r="B56" s="45">
        <v>45</v>
      </c>
      <c r="C56" s="50">
        <f t="shared" si="0"/>
        <v>5.8999999999999997E-2</v>
      </c>
      <c r="D56" s="51">
        <f t="shared" si="1"/>
        <v>60618.996852586279</v>
      </c>
      <c r="E56" s="46">
        <f t="shared" si="3"/>
        <v>3794665.3913280629</v>
      </c>
      <c r="F56" s="46">
        <f t="shared" si="2"/>
        <v>18862.408068882851</v>
      </c>
      <c r="G56" s="46">
        <f t="shared" si="4"/>
        <v>41756.588783703424</v>
      </c>
    </row>
    <row r="57" spans="2:7" x14ac:dyDescent="0.25">
      <c r="B57" s="45">
        <v>46</v>
      </c>
      <c r="C57" s="50">
        <f t="shared" si="0"/>
        <v>5.8999999999999997E-2</v>
      </c>
      <c r="D57" s="51">
        <f t="shared" si="1"/>
        <v>60618.996852586271</v>
      </c>
      <c r="E57" s="46">
        <f t="shared" si="3"/>
        <v>3752703.4993161727</v>
      </c>
      <c r="F57" s="46">
        <f t="shared" si="2"/>
        <v>18657.104840696309</v>
      </c>
      <c r="G57" s="46">
        <f t="shared" si="4"/>
        <v>41961.892011889962</v>
      </c>
    </row>
    <row r="58" spans="2:7" x14ac:dyDescent="0.25">
      <c r="B58" s="45">
        <v>47</v>
      </c>
      <c r="C58" s="50">
        <f t="shared" si="0"/>
        <v>5.8999999999999997E-2</v>
      </c>
      <c r="D58" s="51">
        <f t="shared" si="1"/>
        <v>60618.996852586271</v>
      </c>
      <c r="E58" s="46">
        <f t="shared" si="3"/>
        <v>3710535.2946685576</v>
      </c>
      <c r="F58" s="46">
        <f t="shared" si="2"/>
        <v>18450.792204971181</v>
      </c>
      <c r="G58" s="46">
        <f t="shared" si="4"/>
        <v>42168.204647615086</v>
      </c>
    </row>
    <row r="59" spans="2:7" x14ac:dyDescent="0.25">
      <c r="B59" s="45">
        <v>48</v>
      </c>
      <c r="C59" s="50">
        <f t="shared" si="0"/>
        <v>5.8999999999999997E-2</v>
      </c>
      <c r="D59" s="51">
        <f t="shared" si="1"/>
        <v>60618.99685258625</v>
      </c>
      <c r="E59" s="46">
        <f t="shared" si="3"/>
        <v>3668159.7630147585</v>
      </c>
      <c r="F59" s="46">
        <f t="shared" si="2"/>
        <v>18243.465198787075</v>
      </c>
      <c r="G59" s="46">
        <f t="shared" si="4"/>
        <v>42375.531653799175</v>
      </c>
    </row>
    <row r="60" spans="2:7" x14ac:dyDescent="0.25">
      <c r="B60" s="45">
        <v>49</v>
      </c>
      <c r="C60" s="50">
        <f t="shared" si="0"/>
        <v>5.8999999999999997E-2</v>
      </c>
      <c r="D60" s="51">
        <f t="shared" si="1"/>
        <v>60618.996852586271</v>
      </c>
      <c r="E60" s="46">
        <f t="shared" si="3"/>
        <v>3625575.8849969949</v>
      </c>
      <c r="F60" s="46">
        <f t="shared" si="2"/>
        <v>18035.118834822562</v>
      </c>
      <c r="G60" s="46">
        <f t="shared" si="4"/>
        <v>42583.878017763709</v>
      </c>
    </row>
    <row r="61" spans="2:7" x14ac:dyDescent="0.25">
      <c r="B61" s="45">
        <v>50</v>
      </c>
      <c r="C61" s="50">
        <f t="shared" si="0"/>
        <v>5.8999999999999997E-2</v>
      </c>
      <c r="D61" s="51">
        <f t="shared" si="1"/>
        <v>60618.996852586286</v>
      </c>
      <c r="E61" s="46">
        <f t="shared" si="3"/>
        <v>3582782.6362456437</v>
      </c>
      <c r="F61" s="46">
        <f t="shared" si="2"/>
        <v>17825.748101235225</v>
      </c>
      <c r="G61" s="46">
        <f t="shared" si="4"/>
        <v>42793.248751351057</v>
      </c>
    </row>
    <row r="62" spans="2:7" x14ac:dyDescent="0.25">
      <c r="B62" s="45">
        <v>51</v>
      </c>
      <c r="C62" s="50">
        <f t="shared" si="0"/>
        <v>5.8999999999999997E-2</v>
      </c>
      <c r="D62" s="51">
        <f t="shared" si="1"/>
        <v>60618.996852586242</v>
      </c>
      <c r="E62" s="46">
        <f t="shared" si="3"/>
        <v>3539778.9873545985</v>
      </c>
      <c r="F62" s="46">
        <f t="shared" si="2"/>
        <v>17615.34796154108</v>
      </c>
      <c r="G62" s="46">
        <f t="shared" si="4"/>
        <v>43003.648891045159</v>
      </c>
    </row>
    <row r="63" spans="2:7" x14ac:dyDescent="0.25">
      <c r="B63" s="45">
        <v>52</v>
      </c>
      <c r="C63" s="50">
        <f t="shared" si="0"/>
        <v>5.8999999999999997E-2</v>
      </c>
      <c r="D63" s="51">
        <f t="shared" si="1"/>
        <v>60618.996852586271</v>
      </c>
      <c r="E63" s="46">
        <f t="shared" si="3"/>
        <v>3496563.9038565056</v>
      </c>
      <c r="F63" s="46">
        <f t="shared" si="2"/>
        <v>17403.913354493441</v>
      </c>
      <c r="G63" s="46">
        <f t="shared" si="4"/>
        <v>43215.083498092834</v>
      </c>
    </row>
    <row r="64" spans="2:7" x14ac:dyDescent="0.25">
      <c r="B64" s="45">
        <v>53</v>
      </c>
      <c r="C64" s="50">
        <f t="shared" si="0"/>
        <v>5.8999999999999997E-2</v>
      </c>
      <c r="D64" s="51">
        <f t="shared" si="1"/>
        <v>60618.996852586264</v>
      </c>
      <c r="E64" s="46">
        <f t="shared" si="3"/>
        <v>3453136.3461978803</v>
      </c>
      <c r="F64" s="46">
        <f t="shared" si="2"/>
        <v>17191.439193961152</v>
      </c>
      <c r="G64" s="46">
        <f t="shared" si="4"/>
        <v>43427.557658625112</v>
      </c>
    </row>
    <row r="65" spans="2:7" x14ac:dyDescent="0.25">
      <c r="B65" s="45">
        <v>54</v>
      </c>
      <c r="C65" s="50">
        <f t="shared" si="0"/>
        <v>5.8999999999999997E-2</v>
      </c>
      <c r="D65" s="51">
        <f t="shared" si="1"/>
        <v>60618.996852586271</v>
      </c>
      <c r="E65" s="46">
        <f t="shared" si="3"/>
        <v>3409495.2697141003</v>
      </c>
      <c r="F65" s="46">
        <f t="shared" si="2"/>
        <v>16977.920368806244</v>
      </c>
      <c r="G65" s="46">
        <f t="shared" si="4"/>
        <v>43641.076483780023</v>
      </c>
    </row>
    <row r="66" spans="2:7" x14ac:dyDescent="0.25">
      <c r="B66" s="45">
        <v>55</v>
      </c>
      <c r="C66" s="50">
        <f t="shared" si="0"/>
        <v>5.8999999999999997E-2</v>
      </c>
      <c r="D66" s="51">
        <f t="shared" si="1"/>
        <v>60618.996852586286</v>
      </c>
      <c r="E66" s="46">
        <f t="shared" si="3"/>
        <v>3365639.624604275</v>
      </c>
      <c r="F66" s="46">
        <f t="shared" si="2"/>
        <v>16763.351742760991</v>
      </c>
      <c r="G66" s="46">
        <f t="shared" si="4"/>
        <v>43855.645109825295</v>
      </c>
    </row>
    <row r="67" spans="2:7" x14ac:dyDescent="0.25">
      <c r="B67" s="45">
        <v>56</v>
      </c>
      <c r="C67" s="50">
        <f t="shared" si="0"/>
        <v>5.8999999999999997E-2</v>
      </c>
      <c r="D67" s="51">
        <f t="shared" si="1"/>
        <v>60618.996852586257</v>
      </c>
      <c r="E67" s="46">
        <f t="shared" si="3"/>
        <v>3321568.3559059929</v>
      </c>
      <c r="F67" s="46">
        <f t="shared" si="2"/>
        <v>16547.72815430435</v>
      </c>
      <c r="G67" s="46">
        <f t="shared" si="4"/>
        <v>44071.268698281907</v>
      </c>
    </row>
    <row r="68" spans="2:7" x14ac:dyDescent="0.25">
      <c r="B68" s="45">
        <v>57</v>
      </c>
      <c r="C68" s="50">
        <f t="shared" si="0"/>
        <v>5.8999999999999997E-2</v>
      </c>
      <c r="D68" s="51">
        <f t="shared" si="1"/>
        <v>60618.996852586271</v>
      </c>
      <c r="E68" s="46">
        <f t="shared" si="3"/>
        <v>3277280.4034699444</v>
      </c>
      <c r="F68" s="46">
        <f t="shared" si="2"/>
        <v>16331.044416537798</v>
      </c>
      <c r="G68" s="46">
        <f t="shared" si="4"/>
        <v>44287.952436048472</v>
      </c>
    </row>
    <row r="69" spans="2:7" x14ac:dyDescent="0.25">
      <c r="B69" s="45">
        <v>58</v>
      </c>
      <c r="C69" s="50">
        <f t="shared" si="0"/>
        <v>5.8999999999999997E-2</v>
      </c>
      <c r="D69" s="51">
        <f t="shared" si="1"/>
        <v>60618.996852586271</v>
      </c>
      <c r="E69" s="46">
        <f t="shared" si="3"/>
        <v>3232774.7019344186</v>
      </c>
      <c r="F69" s="46">
        <f t="shared" si="2"/>
        <v>16113.29531706056</v>
      </c>
      <c r="G69" s="46">
        <f t="shared" si="4"/>
        <v>44505.70153552571</v>
      </c>
    </row>
    <row r="70" spans="2:7" x14ac:dyDescent="0.25">
      <c r="B70" s="45">
        <v>59</v>
      </c>
      <c r="C70" s="50">
        <f t="shared" si="0"/>
        <v>5.8999999999999997E-2</v>
      </c>
      <c r="D70" s="51">
        <f t="shared" si="1"/>
        <v>60618.99685258625</v>
      </c>
      <c r="E70" s="46">
        <f t="shared" si="3"/>
        <v>3188050.1806996767</v>
      </c>
      <c r="F70" s="46">
        <f t="shared" si="2"/>
        <v>15894.475617844224</v>
      </c>
      <c r="G70" s="46">
        <f t="shared" si="4"/>
        <v>44724.521234742024</v>
      </c>
    </row>
    <row r="71" spans="2:7" x14ac:dyDescent="0.25">
      <c r="B71" s="45">
        <v>60</v>
      </c>
      <c r="C71" s="50">
        <f t="shared" si="0"/>
        <v>5.8999999999999997E-2</v>
      </c>
      <c r="D71" s="51">
        <f t="shared" si="1"/>
        <v>60618.996852586264</v>
      </c>
      <c r="E71" s="46">
        <f t="shared" si="3"/>
        <v>3143105.7639021971</v>
      </c>
      <c r="F71" s="46">
        <f t="shared" si="2"/>
        <v>15674.580055106744</v>
      </c>
      <c r="G71" s="46">
        <f t="shared" si="4"/>
        <v>44944.41679747952</v>
      </c>
    </row>
    <row r="72" spans="2:7" x14ac:dyDescent="0.25">
      <c r="B72" s="45">
        <v>61</v>
      </c>
      <c r="C72" s="50">
        <f t="shared" si="0"/>
        <v>0.06</v>
      </c>
      <c r="D72" s="51">
        <f t="shared" si="1"/>
        <v>60765.039919523697</v>
      </c>
      <c r="E72" s="46">
        <f t="shared" si="3"/>
        <v>3098056.2528021843</v>
      </c>
      <c r="F72" s="46">
        <f t="shared" si="2"/>
        <v>15715.528819510984</v>
      </c>
      <c r="G72" s="46">
        <f t="shared" si="4"/>
        <v>45049.511100012714</v>
      </c>
    </row>
    <row r="73" spans="2:7" x14ac:dyDescent="0.25">
      <c r="B73" s="45">
        <v>62</v>
      </c>
      <c r="C73" s="50">
        <f t="shared" si="0"/>
        <v>0.06</v>
      </c>
      <c r="D73" s="51">
        <f t="shared" si="1"/>
        <v>60765.039919523668</v>
      </c>
      <c r="E73" s="46">
        <f t="shared" si="3"/>
        <v>3052781.4941466716</v>
      </c>
      <c r="F73" s="46">
        <f t="shared" si="2"/>
        <v>15490.28126401092</v>
      </c>
      <c r="G73" s="46">
        <f t="shared" si="4"/>
        <v>45274.758655512749</v>
      </c>
    </row>
    <row r="74" spans="2:7" x14ac:dyDescent="0.25">
      <c r="B74" s="45">
        <v>63</v>
      </c>
      <c r="C74" s="50">
        <f t="shared" si="0"/>
        <v>0.06</v>
      </c>
      <c r="D74" s="51">
        <f t="shared" si="1"/>
        <v>60765.039919523639</v>
      </c>
      <c r="E74" s="46">
        <f t="shared" si="3"/>
        <v>3007280.3616978815</v>
      </c>
      <c r="F74" s="46">
        <f t="shared" si="2"/>
        <v>15263.907470733357</v>
      </c>
      <c r="G74" s="46">
        <f t="shared" si="4"/>
        <v>45501.132448790282</v>
      </c>
    </row>
    <row r="75" spans="2:7" x14ac:dyDescent="0.25">
      <c r="B75" s="45">
        <v>64</v>
      </c>
      <c r="C75" s="50">
        <f t="shared" si="0"/>
        <v>0.06</v>
      </c>
      <c r="D75" s="51">
        <f t="shared" si="1"/>
        <v>60765.039919523595</v>
      </c>
      <c r="E75" s="46">
        <f t="shared" si="3"/>
        <v>2961551.7235868471</v>
      </c>
      <c r="F75" s="46">
        <f t="shared" si="2"/>
        <v>15036.401808489407</v>
      </c>
      <c r="G75" s="46">
        <f t="shared" si="4"/>
        <v>45728.63811103419</v>
      </c>
    </row>
    <row r="76" spans="2:7" x14ac:dyDescent="0.25">
      <c r="B76" s="45">
        <v>65</v>
      </c>
      <c r="C76" s="50">
        <f t="shared" ref="C76:C139" si="5">IF(B76&gt;$C$6,$C$4,$C$3)</f>
        <v>0.06</v>
      </c>
      <c r="D76" s="51">
        <f t="shared" si="1"/>
        <v>60765.039919523544</v>
      </c>
      <c r="E76" s="46">
        <f t="shared" si="3"/>
        <v>2915594.4422852579</v>
      </c>
      <c r="F76" s="46">
        <f t="shared" si="2"/>
        <v>14807.758617934234</v>
      </c>
      <c r="G76" s="46">
        <f t="shared" si="4"/>
        <v>45957.281301589312</v>
      </c>
    </row>
    <row r="77" spans="2:7" x14ac:dyDescent="0.25">
      <c r="B77" s="45">
        <v>66</v>
      </c>
      <c r="C77" s="50">
        <f t="shared" si="5"/>
        <v>0.06</v>
      </c>
      <c r="D77" s="51">
        <f t="shared" ref="D77:D140" si="6">IF(B77&gt;$C$5,0,E76*(C77/12/(1-(1+C77/12)^(-($C$5-B76)))))</f>
        <v>60765.039919523573</v>
      </c>
      <c r="E77" s="46">
        <f t="shared" si="3"/>
        <v>2869407.3745771605</v>
      </c>
      <c r="F77" s="46">
        <f t="shared" ref="F77:F140" si="7">IF(B77&gt;$C$5,0,E76*C77/12)</f>
        <v>14577.97221142629</v>
      </c>
      <c r="G77" s="46">
        <f t="shared" si="4"/>
        <v>46187.067708097282</v>
      </c>
    </row>
    <row r="78" spans="2:7" x14ac:dyDescent="0.25">
      <c r="B78" s="45">
        <v>67</v>
      </c>
      <c r="C78" s="50">
        <f t="shared" si="5"/>
        <v>0.06</v>
      </c>
      <c r="D78" s="51">
        <f t="shared" si="6"/>
        <v>60765.039919523559</v>
      </c>
      <c r="E78" s="46">
        <f t="shared" ref="E78:E141" si="8">E77-G78</f>
        <v>2822989.3715305226</v>
      </c>
      <c r="F78" s="46">
        <f t="shared" si="7"/>
        <v>14347.036872885801</v>
      </c>
      <c r="G78" s="46">
        <f t="shared" ref="G78:G141" si="9">D78-F78</f>
        <v>46418.003046637758</v>
      </c>
    </row>
    <row r="79" spans="2:7" x14ac:dyDescent="0.25">
      <c r="B79" s="45">
        <v>68</v>
      </c>
      <c r="C79" s="50">
        <f t="shared" si="5"/>
        <v>0.06</v>
      </c>
      <c r="D79" s="51">
        <f t="shared" si="6"/>
        <v>60765.0399195235</v>
      </c>
      <c r="E79" s="46">
        <f t="shared" si="8"/>
        <v>2776339.2784686517</v>
      </c>
      <c r="F79" s="46">
        <f t="shared" si="7"/>
        <v>14114.946857652612</v>
      </c>
      <c r="G79" s="46">
        <f t="shared" si="9"/>
        <v>46650.093061870888</v>
      </c>
    </row>
    <row r="80" spans="2:7" x14ac:dyDescent="0.25">
      <c r="B80" s="45">
        <v>69</v>
      </c>
      <c r="C80" s="50">
        <f t="shared" si="5"/>
        <v>0.06</v>
      </c>
      <c r="D80" s="51">
        <f t="shared" si="6"/>
        <v>60765.039919523457</v>
      </c>
      <c r="E80" s="46">
        <f t="shared" si="8"/>
        <v>2729455.9349414716</v>
      </c>
      <c r="F80" s="46">
        <f t="shared" si="7"/>
        <v>13881.696392343258</v>
      </c>
      <c r="G80" s="46">
        <f t="shared" si="9"/>
        <v>46883.343527180201</v>
      </c>
    </row>
    <row r="81" spans="2:7" x14ac:dyDescent="0.25">
      <c r="B81" s="45">
        <v>70</v>
      </c>
      <c r="C81" s="50">
        <f t="shared" si="5"/>
        <v>0.06</v>
      </c>
      <c r="D81" s="51">
        <f t="shared" si="6"/>
        <v>60765.039919523449</v>
      </c>
      <c r="E81" s="46">
        <f t="shared" si="8"/>
        <v>2682338.1746966555</v>
      </c>
      <c r="F81" s="46">
        <f t="shared" si="7"/>
        <v>13647.279674707357</v>
      </c>
      <c r="G81" s="46">
        <f t="shared" si="9"/>
        <v>47117.760244816091</v>
      </c>
    </row>
    <row r="82" spans="2:7" x14ac:dyDescent="0.25">
      <c r="B82" s="45">
        <v>71</v>
      </c>
      <c r="C82" s="50">
        <f t="shared" si="5"/>
        <v>0.06</v>
      </c>
      <c r="D82" s="51">
        <f t="shared" si="6"/>
        <v>60765.03991952342</v>
      </c>
      <c r="E82" s="46">
        <f t="shared" si="8"/>
        <v>2634984.8256506152</v>
      </c>
      <c r="F82" s="46">
        <f t="shared" si="7"/>
        <v>13411.690873483276</v>
      </c>
      <c r="G82" s="46">
        <f t="shared" si="9"/>
        <v>47353.349046040144</v>
      </c>
    </row>
    <row r="83" spans="2:7" x14ac:dyDescent="0.25">
      <c r="B83" s="45">
        <v>72</v>
      </c>
      <c r="C83" s="50">
        <f t="shared" si="5"/>
        <v>0.06</v>
      </c>
      <c r="D83" s="51">
        <f t="shared" si="6"/>
        <v>60765.039919523333</v>
      </c>
      <c r="E83" s="46">
        <f t="shared" si="8"/>
        <v>2587394.7098593451</v>
      </c>
      <c r="F83" s="46">
        <f t="shared" si="7"/>
        <v>13174.924128253077</v>
      </c>
      <c r="G83" s="46">
        <f t="shared" si="9"/>
        <v>47590.115791270255</v>
      </c>
    </row>
    <row r="84" spans="2:7" x14ac:dyDescent="0.25">
      <c r="B84" s="45">
        <v>73</v>
      </c>
      <c r="C84" s="50">
        <f t="shared" si="5"/>
        <v>0.06</v>
      </c>
      <c r="D84" s="51">
        <f t="shared" si="6"/>
        <v>60765.039919523333</v>
      </c>
      <c r="E84" s="46">
        <f t="shared" si="8"/>
        <v>2539566.6434891187</v>
      </c>
      <c r="F84" s="46">
        <f t="shared" si="7"/>
        <v>12936.973549296725</v>
      </c>
      <c r="G84" s="46">
        <f t="shared" si="9"/>
        <v>47828.06637022661</v>
      </c>
    </row>
    <row r="85" spans="2:7" x14ac:dyDescent="0.25">
      <c r="B85" s="45">
        <v>74</v>
      </c>
      <c r="C85" s="50">
        <f t="shared" si="5"/>
        <v>0.06</v>
      </c>
      <c r="D85" s="51">
        <f t="shared" si="6"/>
        <v>60765.039919523319</v>
      </c>
      <c r="E85" s="46">
        <f t="shared" si="8"/>
        <v>2491499.4367870409</v>
      </c>
      <c r="F85" s="46">
        <f t="shared" si="7"/>
        <v>12697.833217445594</v>
      </c>
      <c r="G85" s="46">
        <f t="shared" si="9"/>
        <v>48067.206702077725</v>
      </c>
    </row>
    <row r="86" spans="2:7" x14ac:dyDescent="0.25">
      <c r="B86" s="45">
        <v>75</v>
      </c>
      <c r="C86" s="50">
        <f t="shared" si="5"/>
        <v>0.06</v>
      </c>
      <c r="D86" s="51">
        <f t="shared" si="6"/>
        <v>60765.039919523246</v>
      </c>
      <c r="E86" s="46">
        <f t="shared" si="8"/>
        <v>2443191.8940514531</v>
      </c>
      <c r="F86" s="46">
        <f t="shared" si="7"/>
        <v>12457.497183935206</v>
      </c>
      <c r="G86" s="46">
        <f t="shared" si="9"/>
        <v>48307.542735588038</v>
      </c>
    </row>
    <row r="87" spans="2:7" x14ac:dyDescent="0.25">
      <c r="B87" s="45">
        <v>76</v>
      </c>
      <c r="C87" s="50">
        <f t="shared" si="5"/>
        <v>0.06</v>
      </c>
      <c r="D87" s="51">
        <f t="shared" si="6"/>
        <v>60765.039919523238</v>
      </c>
      <c r="E87" s="46">
        <f t="shared" si="8"/>
        <v>2394642.8136021872</v>
      </c>
      <c r="F87" s="46">
        <f t="shared" si="7"/>
        <v>12215.959470257265</v>
      </c>
      <c r="G87" s="46">
        <f t="shared" si="9"/>
        <v>48549.080449265974</v>
      </c>
    </row>
    <row r="88" spans="2:7" x14ac:dyDescent="0.25">
      <c r="B88" s="45">
        <v>77</v>
      </c>
      <c r="C88" s="50">
        <f t="shared" si="5"/>
        <v>0.06</v>
      </c>
      <c r="D88" s="51">
        <f t="shared" si="6"/>
        <v>60765.039919523166</v>
      </c>
      <c r="E88" s="46">
        <f t="shared" si="8"/>
        <v>2345850.9877506751</v>
      </c>
      <c r="F88" s="46">
        <f t="shared" si="7"/>
        <v>11973.214068010935</v>
      </c>
      <c r="G88" s="46">
        <f t="shared" si="9"/>
        <v>48791.825851512229</v>
      </c>
    </row>
    <row r="89" spans="2:7" x14ac:dyDescent="0.25">
      <c r="B89" s="45">
        <v>78</v>
      </c>
      <c r="C89" s="50">
        <f t="shared" si="5"/>
        <v>0.06</v>
      </c>
      <c r="D89" s="51">
        <f t="shared" si="6"/>
        <v>60765.039919523115</v>
      </c>
      <c r="E89" s="46">
        <f t="shared" si="8"/>
        <v>2296815.2027699053</v>
      </c>
      <c r="F89" s="46">
        <f t="shared" si="7"/>
        <v>11729.254938753375</v>
      </c>
      <c r="G89" s="46">
        <f t="shared" si="9"/>
        <v>49035.784980769742</v>
      </c>
    </row>
    <row r="90" spans="2:7" x14ac:dyDescent="0.25">
      <c r="B90" s="45">
        <v>79</v>
      </c>
      <c r="C90" s="50">
        <f t="shared" si="5"/>
        <v>0.06</v>
      </c>
      <c r="D90" s="51">
        <f t="shared" si="6"/>
        <v>60765.039919523129</v>
      </c>
      <c r="E90" s="46">
        <f t="shared" si="8"/>
        <v>2247534.2388642319</v>
      </c>
      <c r="F90" s="46">
        <f t="shared" si="7"/>
        <v>11484.076013849526</v>
      </c>
      <c r="G90" s="46">
        <f t="shared" si="9"/>
        <v>49280.963905673605</v>
      </c>
    </row>
    <row r="91" spans="2:7" x14ac:dyDescent="0.25">
      <c r="B91" s="45">
        <v>80</v>
      </c>
      <c r="C91" s="50">
        <f t="shared" si="5"/>
        <v>0.06</v>
      </c>
      <c r="D91" s="51">
        <f t="shared" si="6"/>
        <v>60765.039919523057</v>
      </c>
      <c r="E91" s="46">
        <f t="shared" si="8"/>
        <v>2198006.8701390298</v>
      </c>
      <c r="F91" s="46">
        <f t="shared" si="7"/>
        <v>11237.671194321158</v>
      </c>
      <c r="G91" s="46">
        <f t="shared" si="9"/>
        <v>49527.368725201901</v>
      </c>
    </row>
    <row r="92" spans="2:7" x14ac:dyDescent="0.25">
      <c r="B92" s="45">
        <v>81</v>
      </c>
      <c r="C92" s="50">
        <f t="shared" si="5"/>
        <v>0.06</v>
      </c>
      <c r="D92" s="51">
        <f t="shared" si="6"/>
        <v>60765.039919523013</v>
      </c>
      <c r="E92" s="46">
        <f t="shared" si="8"/>
        <v>2148231.8645702018</v>
      </c>
      <c r="F92" s="46">
        <f t="shared" si="7"/>
        <v>10990.034350695149</v>
      </c>
      <c r="G92" s="46">
        <f t="shared" si="9"/>
        <v>49775.005568827866</v>
      </c>
    </row>
    <row r="93" spans="2:7" x14ac:dyDescent="0.25">
      <c r="B93" s="45">
        <v>82</v>
      </c>
      <c r="C93" s="50">
        <f t="shared" si="5"/>
        <v>0.06</v>
      </c>
      <c r="D93" s="51">
        <f t="shared" si="6"/>
        <v>60765.039919522969</v>
      </c>
      <c r="E93" s="46">
        <f t="shared" si="8"/>
        <v>2098207.9839735297</v>
      </c>
      <c r="F93" s="46">
        <f t="shared" si="7"/>
        <v>10741.159322851008</v>
      </c>
      <c r="G93" s="46">
        <f t="shared" si="9"/>
        <v>50023.880596671959</v>
      </c>
    </row>
    <row r="94" spans="2:7" x14ac:dyDescent="0.25">
      <c r="B94" s="45">
        <v>83</v>
      </c>
      <c r="C94" s="50">
        <f t="shared" si="5"/>
        <v>0.06</v>
      </c>
      <c r="D94" s="51">
        <f t="shared" si="6"/>
        <v>60765.039919522926</v>
      </c>
      <c r="E94" s="46">
        <f t="shared" si="8"/>
        <v>2047933.9839738745</v>
      </c>
      <c r="F94" s="46">
        <f t="shared" si="7"/>
        <v>10491.039919867648</v>
      </c>
      <c r="G94" s="46">
        <f t="shared" si="9"/>
        <v>50273.99999965528</v>
      </c>
    </row>
    <row r="95" spans="2:7" x14ac:dyDescent="0.25">
      <c r="B95" s="45">
        <v>84</v>
      </c>
      <c r="C95" s="50">
        <f t="shared" si="5"/>
        <v>0.06</v>
      </c>
      <c r="D95" s="51">
        <f t="shared" si="6"/>
        <v>60765.039919522933</v>
      </c>
      <c r="E95" s="46">
        <f t="shared" si="8"/>
        <v>1997408.6139742208</v>
      </c>
      <c r="F95" s="46">
        <f t="shared" si="7"/>
        <v>10239.669919869373</v>
      </c>
      <c r="G95" s="46">
        <f t="shared" si="9"/>
        <v>50525.369999653558</v>
      </c>
    </row>
    <row r="96" spans="2:7" x14ac:dyDescent="0.25">
      <c r="B96" s="45">
        <v>85</v>
      </c>
      <c r="C96" s="50">
        <f t="shared" si="5"/>
        <v>0.06</v>
      </c>
      <c r="D96" s="51">
        <f t="shared" si="6"/>
        <v>60765.03991952286</v>
      </c>
      <c r="E96" s="46">
        <f t="shared" si="8"/>
        <v>1946630.6171245691</v>
      </c>
      <c r="F96" s="46">
        <f t="shared" si="7"/>
        <v>9987.0430698711043</v>
      </c>
      <c r="G96" s="46">
        <f t="shared" si="9"/>
        <v>50777.996849651754</v>
      </c>
    </row>
    <row r="97" spans="2:7" x14ac:dyDescent="0.25">
      <c r="B97" s="45">
        <v>86</v>
      </c>
      <c r="C97" s="50">
        <f t="shared" si="5"/>
        <v>0.06</v>
      </c>
      <c r="D97" s="51">
        <f t="shared" si="6"/>
        <v>60765.039919522744</v>
      </c>
      <c r="E97" s="46">
        <f t="shared" si="8"/>
        <v>1895598.7302906692</v>
      </c>
      <c r="F97" s="46">
        <f t="shared" si="7"/>
        <v>9733.1530856228455</v>
      </c>
      <c r="G97" s="46">
        <f t="shared" si="9"/>
        <v>51031.886833899902</v>
      </c>
    </row>
    <row r="98" spans="2:7" x14ac:dyDescent="0.25">
      <c r="B98" s="45">
        <v>87</v>
      </c>
      <c r="C98" s="50">
        <f t="shared" si="5"/>
        <v>0.06</v>
      </c>
      <c r="D98" s="51">
        <f t="shared" si="6"/>
        <v>60765.039919522766</v>
      </c>
      <c r="E98" s="46">
        <f t="shared" si="8"/>
        <v>1844311.6840225998</v>
      </c>
      <c r="F98" s="46">
        <f t="shared" si="7"/>
        <v>9477.9936514533456</v>
      </c>
      <c r="G98" s="46">
        <f t="shared" si="9"/>
        <v>51287.046268069418</v>
      </c>
    </row>
    <row r="99" spans="2:7" x14ac:dyDescent="0.25">
      <c r="B99" s="45">
        <v>88</v>
      </c>
      <c r="C99" s="50">
        <f t="shared" si="5"/>
        <v>0.06</v>
      </c>
      <c r="D99" s="51">
        <f t="shared" si="6"/>
        <v>60765.039919522715</v>
      </c>
      <c r="E99" s="46">
        <f t="shared" si="8"/>
        <v>1792768.2025231901</v>
      </c>
      <c r="F99" s="46">
        <f t="shared" si="7"/>
        <v>9221.5584201129986</v>
      </c>
      <c r="G99" s="46">
        <f t="shared" si="9"/>
        <v>51543.481499409718</v>
      </c>
    </row>
    <row r="100" spans="2:7" x14ac:dyDescent="0.25">
      <c r="B100" s="45">
        <v>89</v>
      </c>
      <c r="C100" s="50">
        <f t="shared" si="5"/>
        <v>0.06</v>
      </c>
      <c r="D100" s="51">
        <f t="shared" si="6"/>
        <v>60765.039919522635</v>
      </c>
      <c r="E100" s="46">
        <f t="shared" si="8"/>
        <v>1740967.0036162834</v>
      </c>
      <c r="F100" s="46">
        <f t="shared" si="7"/>
        <v>8963.8410126159488</v>
      </c>
      <c r="G100" s="46">
        <f t="shared" si="9"/>
        <v>51801.198906906684</v>
      </c>
    </row>
    <row r="101" spans="2:7" x14ac:dyDescent="0.25">
      <c r="B101" s="45">
        <v>90</v>
      </c>
      <c r="C101" s="50">
        <f t="shared" si="5"/>
        <v>0.06</v>
      </c>
      <c r="D101" s="51">
        <f t="shared" si="6"/>
        <v>60765.039919522591</v>
      </c>
      <c r="E101" s="46">
        <f t="shared" si="8"/>
        <v>1688906.7987148422</v>
      </c>
      <c r="F101" s="46">
        <f t="shared" si="7"/>
        <v>8704.8350180814177</v>
      </c>
      <c r="G101" s="46">
        <f t="shared" si="9"/>
        <v>52060.204901441175</v>
      </c>
    </row>
    <row r="102" spans="2:7" x14ac:dyDescent="0.25">
      <c r="B102" s="45">
        <v>91</v>
      </c>
      <c r="C102" s="50">
        <f t="shared" si="5"/>
        <v>0.06</v>
      </c>
      <c r="D102" s="51">
        <f t="shared" si="6"/>
        <v>60765.039919522511</v>
      </c>
      <c r="E102" s="46">
        <f t="shared" si="8"/>
        <v>1636586.2927888939</v>
      </c>
      <c r="F102" s="46">
        <f t="shared" si="7"/>
        <v>8444.5339935742104</v>
      </c>
      <c r="G102" s="46">
        <f t="shared" si="9"/>
        <v>52320.505925948302</v>
      </c>
    </row>
    <row r="103" spans="2:7" x14ac:dyDescent="0.25">
      <c r="B103" s="45">
        <v>92</v>
      </c>
      <c r="C103" s="50">
        <f t="shared" si="5"/>
        <v>0.06</v>
      </c>
      <c r="D103" s="51">
        <f t="shared" si="6"/>
        <v>60765.039919522445</v>
      </c>
      <c r="E103" s="46">
        <f t="shared" si="8"/>
        <v>1584004.1843333161</v>
      </c>
      <c r="F103" s="46">
        <f t="shared" si="7"/>
        <v>8182.9314639444701</v>
      </c>
      <c r="G103" s="46">
        <f t="shared" si="9"/>
        <v>52582.108455577974</v>
      </c>
    </row>
    <row r="104" spans="2:7" x14ac:dyDescent="0.25">
      <c r="B104" s="45">
        <v>93</v>
      </c>
      <c r="C104" s="50">
        <f t="shared" si="5"/>
        <v>0.06</v>
      </c>
      <c r="D104" s="51">
        <f t="shared" si="6"/>
        <v>60765.039919522402</v>
      </c>
      <c r="E104" s="46">
        <f t="shared" si="8"/>
        <v>1531159.1653354603</v>
      </c>
      <c r="F104" s="46">
        <f t="shared" si="7"/>
        <v>7920.0209216665799</v>
      </c>
      <c r="G104" s="46">
        <f t="shared" si="9"/>
        <v>52845.018997855819</v>
      </c>
    </row>
    <row r="105" spans="2:7" x14ac:dyDescent="0.25">
      <c r="B105" s="45">
        <v>94</v>
      </c>
      <c r="C105" s="50">
        <f t="shared" si="5"/>
        <v>0.06</v>
      </c>
      <c r="D105" s="51">
        <f t="shared" si="6"/>
        <v>60765.039919522293</v>
      </c>
      <c r="E105" s="46">
        <f t="shared" si="8"/>
        <v>1478049.9212426154</v>
      </c>
      <c r="F105" s="46">
        <f t="shared" si="7"/>
        <v>7655.7958266773012</v>
      </c>
      <c r="G105" s="46">
        <f t="shared" si="9"/>
        <v>53109.244092844994</v>
      </c>
    </row>
    <row r="106" spans="2:7" x14ac:dyDescent="0.25">
      <c r="B106" s="45">
        <v>95</v>
      </c>
      <c r="C106" s="50">
        <f t="shared" si="5"/>
        <v>0.06</v>
      </c>
      <c r="D106" s="51">
        <f t="shared" si="6"/>
        <v>60765.039919522242</v>
      </c>
      <c r="E106" s="46">
        <f t="shared" si="8"/>
        <v>1424675.1309293064</v>
      </c>
      <c r="F106" s="46">
        <f t="shared" si="7"/>
        <v>7390.2496062130767</v>
      </c>
      <c r="G106" s="46">
        <f t="shared" si="9"/>
        <v>53374.790313309168</v>
      </c>
    </row>
    <row r="107" spans="2:7" x14ac:dyDescent="0.25">
      <c r="B107" s="45">
        <v>96</v>
      </c>
      <c r="C107" s="50">
        <f t="shared" si="5"/>
        <v>0.06</v>
      </c>
      <c r="D107" s="51">
        <f t="shared" si="6"/>
        <v>60765.039919522213</v>
      </c>
      <c r="E107" s="46">
        <f t="shared" si="8"/>
        <v>1371033.4666644307</v>
      </c>
      <c r="F107" s="46">
        <f t="shared" si="7"/>
        <v>7123.3756546465311</v>
      </c>
      <c r="G107" s="46">
        <f t="shared" si="9"/>
        <v>53641.664264875682</v>
      </c>
    </row>
    <row r="108" spans="2:7" x14ac:dyDescent="0.25">
      <c r="B108" s="45">
        <v>97</v>
      </c>
      <c r="C108" s="50">
        <f t="shared" si="5"/>
        <v>0.06</v>
      </c>
      <c r="D108" s="51">
        <f t="shared" si="6"/>
        <v>60765.039919522067</v>
      </c>
      <c r="E108" s="46">
        <f t="shared" si="8"/>
        <v>1317123.5940782307</v>
      </c>
      <c r="F108" s="46">
        <f t="shared" si="7"/>
        <v>6855.1673333221524</v>
      </c>
      <c r="G108" s="46">
        <f t="shared" si="9"/>
        <v>53909.872586199912</v>
      </c>
    </row>
    <row r="109" spans="2:7" x14ac:dyDescent="0.25">
      <c r="B109" s="45">
        <v>98</v>
      </c>
      <c r="C109" s="50">
        <f t="shared" si="5"/>
        <v>0.06</v>
      </c>
      <c r="D109" s="51">
        <f t="shared" si="6"/>
        <v>60765.039919522111</v>
      </c>
      <c r="E109" s="46">
        <f t="shared" si="8"/>
        <v>1262944.1721290997</v>
      </c>
      <c r="F109" s="46">
        <f t="shared" si="7"/>
        <v>6585.6179703911539</v>
      </c>
      <c r="G109" s="46">
        <f t="shared" si="9"/>
        <v>54179.421949130956</v>
      </c>
    </row>
    <row r="110" spans="2:7" x14ac:dyDescent="0.25">
      <c r="B110" s="45">
        <v>99</v>
      </c>
      <c r="C110" s="50">
        <f t="shared" si="5"/>
        <v>0.06</v>
      </c>
      <c r="D110" s="51">
        <f t="shared" si="6"/>
        <v>60765.039919522009</v>
      </c>
      <c r="E110" s="46">
        <f t="shared" si="8"/>
        <v>1208493.8530702232</v>
      </c>
      <c r="F110" s="46">
        <f t="shared" si="7"/>
        <v>6314.7208606454988</v>
      </c>
      <c r="G110" s="46">
        <f t="shared" si="9"/>
        <v>54450.319058876514</v>
      </c>
    </row>
    <row r="111" spans="2:7" x14ac:dyDescent="0.25">
      <c r="B111" s="45">
        <v>100</v>
      </c>
      <c r="C111" s="50">
        <f t="shared" si="5"/>
        <v>0.06</v>
      </c>
      <c r="D111" s="51">
        <f t="shared" si="6"/>
        <v>60765.039919521951</v>
      </c>
      <c r="E111" s="46">
        <f t="shared" si="8"/>
        <v>1153771.2824160524</v>
      </c>
      <c r="F111" s="46">
        <f t="shared" si="7"/>
        <v>6042.4692653511156</v>
      </c>
      <c r="G111" s="46">
        <f t="shared" si="9"/>
        <v>54722.570654170835</v>
      </c>
    </row>
    <row r="112" spans="2:7" x14ac:dyDescent="0.25">
      <c r="B112" s="45">
        <v>101</v>
      </c>
      <c r="C112" s="50">
        <f t="shared" si="5"/>
        <v>0.06</v>
      </c>
      <c r="D112" s="51">
        <f t="shared" si="6"/>
        <v>60765.039919521783</v>
      </c>
      <c r="E112" s="46">
        <f t="shared" si="8"/>
        <v>1098775.0989086109</v>
      </c>
      <c r="F112" s="46">
        <f t="shared" si="7"/>
        <v>5768.8564120802621</v>
      </c>
      <c r="G112" s="46">
        <f t="shared" si="9"/>
        <v>54996.183507441521</v>
      </c>
    </row>
    <row r="113" spans="2:7" x14ac:dyDescent="0.25">
      <c r="B113" s="45">
        <v>102</v>
      </c>
      <c r="C113" s="50">
        <f t="shared" si="5"/>
        <v>0.06</v>
      </c>
      <c r="D113" s="51">
        <f t="shared" si="6"/>
        <v>60765.039919521732</v>
      </c>
      <c r="E113" s="46">
        <f t="shared" si="8"/>
        <v>1043503.9344836322</v>
      </c>
      <c r="F113" s="46">
        <f t="shared" si="7"/>
        <v>5493.8754945430546</v>
      </c>
      <c r="G113" s="46">
        <f t="shared" si="9"/>
        <v>55271.164424978677</v>
      </c>
    </row>
    <row r="114" spans="2:7" x14ac:dyDescent="0.25">
      <c r="B114" s="45">
        <v>103</v>
      </c>
      <c r="C114" s="50">
        <f t="shared" si="5"/>
        <v>0.06</v>
      </c>
      <c r="D114" s="51">
        <f t="shared" si="6"/>
        <v>60765.039919521674</v>
      </c>
      <c r="E114" s="46">
        <f t="shared" si="8"/>
        <v>987956.41423652868</v>
      </c>
      <c r="F114" s="46">
        <f t="shared" si="7"/>
        <v>5217.5196724181615</v>
      </c>
      <c r="G114" s="46">
        <f t="shared" si="9"/>
        <v>55547.520247103515</v>
      </c>
    </row>
    <row r="115" spans="2:7" x14ac:dyDescent="0.25">
      <c r="B115" s="45">
        <v>104</v>
      </c>
      <c r="C115" s="50">
        <f t="shared" si="5"/>
        <v>0.06</v>
      </c>
      <c r="D115" s="51">
        <f t="shared" si="6"/>
        <v>60765.039919521478</v>
      </c>
      <c r="E115" s="46">
        <f t="shared" si="8"/>
        <v>932131.15638818988</v>
      </c>
      <c r="F115" s="46">
        <f t="shared" si="7"/>
        <v>4939.7820711826434</v>
      </c>
      <c r="G115" s="46">
        <f t="shared" si="9"/>
        <v>55825.257848338835</v>
      </c>
    </row>
    <row r="116" spans="2:7" x14ac:dyDescent="0.25">
      <c r="B116" s="45">
        <v>105</v>
      </c>
      <c r="C116" s="50">
        <f t="shared" si="5"/>
        <v>0.06</v>
      </c>
      <c r="D116" s="51">
        <f t="shared" si="6"/>
        <v>60765.039919521398</v>
      </c>
      <c r="E116" s="46">
        <f t="shared" si="8"/>
        <v>876026.77225060947</v>
      </c>
      <c r="F116" s="46">
        <f t="shared" si="7"/>
        <v>4660.6557819409491</v>
      </c>
      <c r="G116" s="46">
        <f t="shared" si="9"/>
        <v>56104.384137580448</v>
      </c>
    </row>
    <row r="117" spans="2:7" x14ac:dyDescent="0.25">
      <c r="B117" s="45">
        <v>106</v>
      </c>
      <c r="C117" s="50">
        <f t="shared" si="5"/>
        <v>0.06</v>
      </c>
      <c r="D117" s="51">
        <f t="shared" si="6"/>
        <v>60765.039919521347</v>
      </c>
      <c r="E117" s="46">
        <f t="shared" si="8"/>
        <v>819641.8661923412</v>
      </c>
      <c r="F117" s="46">
        <f t="shared" si="7"/>
        <v>4380.1338612530471</v>
      </c>
      <c r="G117" s="46">
        <f t="shared" si="9"/>
        <v>56384.906058268301</v>
      </c>
    </row>
    <row r="118" spans="2:7" x14ac:dyDescent="0.25">
      <c r="B118" s="45">
        <v>107</v>
      </c>
      <c r="C118" s="50">
        <f t="shared" si="5"/>
        <v>0.06</v>
      </c>
      <c r="D118" s="51">
        <f t="shared" si="6"/>
        <v>60765.039919521165</v>
      </c>
      <c r="E118" s="46">
        <f t="shared" si="8"/>
        <v>762975.0356037817</v>
      </c>
      <c r="F118" s="46">
        <f t="shared" si="7"/>
        <v>4098.2093309617057</v>
      </c>
      <c r="G118" s="46">
        <f t="shared" si="9"/>
        <v>56666.83058855946</v>
      </c>
    </row>
    <row r="119" spans="2:7" x14ac:dyDescent="0.25">
      <c r="B119" s="45">
        <v>108</v>
      </c>
      <c r="C119" s="50">
        <f t="shared" si="5"/>
        <v>0.06</v>
      </c>
      <c r="D119" s="51">
        <f t="shared" si="6"/>
        <v>60765.039919520961</v>
      </c>
      <c r="E119" s="46">
        <f t="shared" si="8"/>
        <v>706024.87086227967</v>
      </c>
      <c r="F119" s="46">
        <f t="shared" si="7"/>
        <v>3814.8751780189086</v>
      </c>
      <c r="G119" s="46">
        <f t="shared" si="9"/>
        <v>56950.164741502056</v>
      </c>
    </row>
    <row r="120" spans="2:7" x14ac:dyDescent="0.25">
      <c r="B120" s="45">
        <v>109</v>
      </c>
      <c r="C120" s="50">
        <f t="shared" si="5"/>
        <v>0.06</v>
      </c>
      <c r="D120" s="51">
        <f t="shared" si="6"/>
        <v>60765.039919520947</v>
      </c>
      <c r="E120" s="46">
        <f t="shared" si="8"/>
        <v>648789.95529707009</v>
      </c>
      <c r="F120" s="46">
        <f t="shared" si="7"/>
        <v>3530.1243543113983</v>
      </c>
      <c r="G120" s="46">
        <f t="shared" si="9"/>
        <v>57234.915565209551</v>
      </c>
    </row>
    <row r="121" spans="2:7" x14ac:dyDescent="0.25">
      <c r="B121" s="45">
        <v>110</v>
      </c>
      <c r="C121" s="50">
        <f t="shared" si="5"/>
        <v>0.06</v>
      </c>
      <c r="D121" s="51">
        <f t="shared" si="6"/>
        <v>60765.039919520539</v>
      </c>
      <c r="E121" s="46">
        <f t="shared" si="8"/>
        <v>591268.86515403492</v>
      </c>
      <c r="F121" s="46">
        <f t="shared" si="7"/>
        <v>3243.94977648535</v>
      </c>
      <c r="G121" s="46">
        <f t="shared" si="9"/>
        <v>57521.090143035188</v>
      </c>
    </row>
    <row r="122" spans="2:7" x14ac:dyDescent="0.25">
      <c r="B122" s="45">
        <v>111</v>
      </c>
      <c r="C122" s="50">
        <f t="shared" si="5"/>
        <v>0.06</v>
      </c>
      <c r="D122" s="51">
        <f t="shared" si="6"/>
        <v>60765.039919520401</v>
      </c>
      <c r="E122" s="46">
        <f t="shared" si="8"/>
        <v>533460.1695602847</v>
      </c>
      <c r="F122" s="46">
        <f t="shared" si="7"/>
        <v>2956.3443257701747</v>
      </c>
      <c r="G122" s="46">
        <f t="shared" si="9"/>
        <v>57808.695593750228</v>
      </c>
    </row>
    <row r="123" spans="2:7" x14ac:dyDescent="0.25">
      <c r="B123" s="45">
        <v>112</v>
      </c>
      <c r="C123" s="50">
        <f t="shared" si="5"/>
        <v>0.06</v>
      </c>
      <c r="D123" s="51">
        <f t="shared" si="6"/>
        <v>60765.039919520234</v>
      </c>
      <c r="E123" s="46">
        <f t="shared" si="8"/>
        <v>475362.43048856588</v>
      </c>
      <c r="F123" s="46">
        <f t="shared" si="7"/>
        <v>2667.3008478014235</v>
      </c>
      <c r="G123" s="46">
        <f t="shared" si="9"/>
        <v>58097.73907171881</v>
      </c>
    </row>
    <row r="124" spans="2:7" x14ac:dyDescent="0.25">
      <c r="B124" s="45">
        <v>113</v>
      </c>
      <c r="C124" s="50">
        <f t="shared" si="5"/>
        <v>0.06</v>
      </c>
      <c r="D124" s="51">
        <f t="shared" si="6"/>
        <v>60765.039919520059</v>
      </c>
      <c r="E124" s="46">
        <f t="shared" si="8"/>
        <v>416974.20272148866</v>
      </c>
      <c r="F124" s="46">
        <f t="shared" si="7"/>
        <v>2376.8121524428293</v>
      </c>
      <c r="G124" s="46">
        <f t="shared" si="9"/>
        <v>58388.227767077231</v>
      </c>
    </row>
    <row r="125" spans="2:7" x14ac:dyDescent="0.25">
      <c r="B125" s="45">
        <v>114</v>
      </c>
      <c r="C125" s="50">
        <f t="shared" si="5"/>
        <v>0.06</v>
      </c>
      <c r="D125" s="51">
        <f t="shared" si="6"/>
        <v>60765.039919519913</v>
      </c>
      <c r="E125" s="46">
        <f t="shared" si="8"/>
        <v>358294.03381557617</v>
      </c>
      <c r="F125" s="46">
        <f t="shared" si="7"/>
        <v>2084.8710136074433</v>
      </c>
      <c r="G125" s="46">
        <f t="shared" si="9"/>
        <v>58680.168905912469</v>
      </c>
    </row>
    <row r="126" spans="2:7" x14ac:dyDescent="0.25">
      <c r="B126" s="45">
        <v>115</v>
      </c>
      <c r="C126" s="50">
        <f t="shared" si="5"/>
        <v>0.06</v>
      </c>
      <c r="D126" s="51">
        <f t="shared" si="6"/>
        <v>60765.039919519892</v>
      </c>
      <c r="E126" s="46">
        <f t="shared" si="8"/>
        <v>299320.46406513418</v>
      </c>
      <c r="F126" s="46">
        <f t="shared" si="7"/>
        <v>1791.4701690778809</v>
      </c>
      <c r="G126" s="46">
        <f t="shared" si="9"/>
        <v>58973.56975044201</v>
      </c>
    </row>
    <row r="127" spans="2:7" x14ac:dyDescent="0.25">
      <c r="B127" s="45">
        <v>116</v>
      </c>
      <c r="C127" s="50">
        <f t="shared" si="5"/>
        <v>0.06</v>
      </c>
      <c r="D127" s="51">
        <f t="shared" si="6"/>
        <v>60765.03991951939</v>
      </c>
      <c r="E127" s="46">
        <f t="shared" si="8"/>
        <v>240052.02646594046</v>
      </c>
      <c r="F127" s="46">
        <f t="shared" si="7"/>
        <v>1496.6023203256709</v>
      </c>
      <c r="G127" s="46">
        <f t="shared" si="9"/>
        <v>59268.43759919372</v>
      </c>
    </row>
    <row r="128" spans="2:7" x14ac:dyDescent="0.25">
      <c r="B128" s="45">
        <v>117</v>
      </c>
      <c r="C128" s="50">
        <f t="shared" si="5"/>
        <v>0.06</v>
      </c>
      <c r="D128" s="51">
        <f t="shared" si="6"/>
        <v>60765.039919518764</v>
      </c>
      <c r="E128" s="46">
        <f t="shared" si="8"/>
        <v>180487.2466787514</v>
      </c>
      <c r="F128" s="46">
        <f t="shared" si="7"/>
        <v>1200.2601323297024</v>
      </c>
      <c r="G128" s="46">
        <f t="shared" si="9"/>
        <v>59564.779787189058</v>
      </c>
    </row>
    <row r="129" spans="2:7" x14ac:dyDescent="0.25">
      <c r="B129" s="45">
        <v>118</v>
      </c>
      <c r="C129" s="50">
        <f t="shared" si="5"/>
        <v>0.06</v>
      </c>
      <c r="D129" s="51">
        <f t="shared" si="6"/>
        <v>60765.039919517643</v>
      </c>
      <c r="E129" s="46">
        <f t="shared" si="8"/>
        <v>120624.64299262752</v>
      </c>
      <c r="F129" s="46">
        <f t="shared" si="7"/>
        <v>902.43623339375699</v>
      </c>
      <c r="G129" s="46">
        <f t="shared" si="9"/>
        <v>59862.603686123883</v>
      </c>
    </row>
    <row r="130" spans="2:7" x14ac:dyDescent="0.25">
      <c r="B130" s="45">
        <v>119</v>
      </c>
      <c r="C130" s="50">
        <f t="shared" si="5"/>
        <v>0.06</v>
      </c>
      <c r="D130" s="51">
        <f t="shared" si="6"/>
        <v>60765.039919517192</v>
      </c>
      <c r="E130" s="46">
        <f t="shared" si="8"/>
        <v>60462.726288073463</v>
      </c>
      <c r="F130" s="46">
        <f t="shared" si="7"/>
        <v>603.12321496313757</v>
      </c>
      <c r="G130" s="46">
        <f t="shared" si="9"/>
        <v>60161.916704554053</v>
      </c>
    </row>
    <row r="131" spans="2:7" x14ac:dyDescent="0.25">
      <c r="B131" s="45">
        <v>120</v>
      </c>
      <c r="C131" s="50">
        <f t="shared" si="5"/>
        <v>0.06</v>
      </c>
      <c r="D131" s="51">
        <f t="shared" si="6"/>
        <v>60765.03991951546</v>
      </c>
      <c r="E131" s="46">
        <f t="shared" si="8"/>
        <v>-1.6298145055770874E-9</v>
      </c>
      <c r="F131" s="46">
        <f t="shared" si="7"/>
        <v>302.31363144036732</v>
      </c>
      <c r="G131" s="46">
        <f t="shared" si="9"/>
        <v>60462.726288075093</v>
      </c>
    </row>
    <row r="132" spans="2:7" x14ac:dyDescent="0.25">
      <c r="B132" s="45">
        <v>121</v>
      </c>
      <c r="C132" s="50">
        <f t="shared" si="5"/>
        <v>0.06</v>
      </c>
      <c r="D132" s="51">
        <f t="shared" si="6"/>
        <v>0</v>
      </c>
      <c r="E132" s="46">
        <f t="shared" si="8"/>
        <v>-1.6298145055770874E-9</v>
      </c>
      <c r="F132" s="46">
        <f t="shared" si="7"/>
        <v>0</v>
      </c>
      <c r="G132" s="46">
        <f t="shared" si="9"/>
        <v>0</v>
      </c>
    </row>
    <row r="133" spans="2:7" x14ac:dyDescent="0.25">
      <c r="B133" s="45">
        <v>122</v>
      </c>
      <c r="C133" s="50">
        <f t="shared" si="5"/>
        <v>0.06</v>
      </c>
      <c r="D133" s="51">
        <f t="shared" si="6"/>
        <v>0</v>
      </c>
      <c r="E133" s="46">
        <f t="shared" si="8"/>
        <v>-1.6298145055770874E-9</v>
      </c>
      <c r="F133" s="46">
        <f t="shared" si="7"/>
        <v>0</v>
      </c>
      <c r="G133" s="46">
        <f t="shared" si="9"/>
        <v>0</v>
      </c>
    </row>
    <row r="134" spans="2:7" x14ac:dyDescent="0.25">
      <c r="B134" s="45">
        <v>123</v>
      </c>
      <c r="C134" s="50">
        <f t="shared" si="5"/>
        <v>0.06</v>
      </c>
      <c r="D134" s="51">
        <f t="shared" si="6"/>
        <v>0</v>
      </c>
      <c r="E134" s="46">
        <f t="shared" si="8"/>
        <v>-1.6298145055770874E-9</v>
      </c>
      <c r="F134" s="46">
        <f t="shared" si="7"/>
        <v>0</v>
      </c>
      <c r="G134" s="46">
        <f t="shared" si="9"/>
        <v>0</v>
      </c>
    </row>
    <row r="135" spans="2:7" x14ac:dyDescent="0.25">
      <c r="B135" s="45">
        <v>124</v>
      </c>
      <c r="C135" s="50">
        <f t="shared" si="5"/>
        <v>0.06</v>
      </c>
      <c r="D135" s="51">
        <f t="shared" si="6"/>
        <v>0</v>
      </c>
      <c r="E135" s="46">
        <f t="shared" si="8"/>
        <v>-1.6298145055770874E-9</v>
      </c>
      <c r="F135" s="46">
        <f t="shared" si="7"/>
        <v>0</v>
      </c>
      <c r="G135" s="46">
        <f t="shared" si="9"/>
        <v>0</v>
      </c>
    </row>
    <row r="136" spans="2:7" x14ac:dyDescent="0.25">
      <c r="B136" s="45">
        <v>125</v>
      </c>
      <c r="C136" s="50">
        <f t="shared" si="5"/>
        <v>0.06</v>
      </c>
      <c r="D136" s="51">
        <f t="shared" si="6"/>
        <v>0</v>
      </c>
      <c r="E136" s="46">
        <f t="shared" si="8"/>
        <v>-1.6298145055770874E-9</v>
      </c>
      <c r="F136" s="46">
        <f t="shared" si="7"/>
        <v>0</v>
      </c>
      <c r="G136" s="46">
        <f t="shared" si="9"/>
        <v>0</v>
      </c>
    </row>
    <row r="137" spans="2:7" x14ac:dyDescent="0.25">
      <c r="B137" s="45">
        <v>126</v>
      </c>
      <c r="C137" s="50">
        <f t="shared" si="5"/>
        <v>0.06</v>
      </c>
      <c r="D137" s="51">
        <f t="shared" si="6"/>
        <v>0</v>
      </c>
      <c r="E137" s="46">
        <f t="shared" si="8"/>
        <v>-1.6298145055770874E-9</v>
      </c>
      <c r="F137" s="46">
        <f t="shared" si="7"/>
        <v>0</v>
      </c>
      <c r="G137" s="46">
        <f t="shared" si="9"/>
        <v>0</v>
      </c>
    </row>
    <row r="138" spans="2:7" x14ac:dyDescent="0.25">
      <c r="B138" s="45">
        <v>127</v>
      </c>
      <c r="C138" s="50">
        <f t="shared" si="5"/>
        <v>0.06</v>
      </c>
      <c r="D138" s="51">
        <f t="shared" si="6"/>
        <v>0</v>
      </c>
      <c r="E138" s="46">
        <f t="shared" si="8"/>
        <v>-1.6298145055770874E-9</v>
      </c>
      <c r="F138" s="46">
        <f t="shared" si="7"/>
        <v>0</v>
      </c>
      <c r="G138" s="46">
        <f t="shared" si="9"/>
        <v>0</v>
      </c>
    </row>
    <row r="139" spans="2:7" x14ac:dyDescent="0.25">
      <c r="B139" s="45">
        <v>128</v>
      </c>
      <c r="C139" s="50">
        <f t="shared" si="5"/>
        <v>0.06</v>
      </c>
      <c r="D139" s="51">
        <f t="shared" si="6"/>
        <v>0</v>
      </c>
      <c r="E139" s="46">
        <f t="shared" si="8"/>
        <v>-1.6298145055770874E-9</v>
      </c>
      <c r="F139" s="46">
        <f t="shared" si="7"/>
        <v>0</v>
      </c>
      <c r="G139" s="46">
        <f t="shared" si="9"/>
        <v>0</v>
      </c>
    </row>
    <row r="140" spans="2:7" x14ac:dyDescent="0.25">
      <c r="B140" s="45">
        <v>129</v>
      </c>
      <c r="C140" s="50">
        <f t="shared" ref="C140:C203" si="10">IF(B140&gt;$C$6,$C$4,$C$3)</f>
        <v>0.06</v>
      </c>
      <c r="D140" s="51">
        <f t="shared" si="6"/>
        <v>0</v>
      </c>
      <c r="E140" s="46">
        <f t="shared" si="8"/>
        <v>-1.6298145055770874E-9</v>
      </c>
      <c r="F140" s="46">
        <f t="shared" si="7"/>
        <v>0</v>
      </c>
      <c r="G140" s="46">
        <f t="shared" si="9"/>
        <v>0</v>
      </c>
    </row>
    <row r="141" spans="2:7" x14ac:dyDescent="0.25">
      <c r="B141" s="45">
        <v>130</v>
      </c>
      <c r="C141" s="50">
        <f t="shared" si="10"/>
        <v>0.06</v>
      </c>
      <c r="D141" s="51">
        <f t="shared" ref="D141:D204" si="11">IF(B141&gt;$C$5,0,E140*(C141/12/(1-(1+C141/12)^(-($C$5-B140)))))</f>
        <v>0</v>
      </c>
      <c r="E141" s="46">
        <f t="shared" si="8"/>
        <v>-1.6298145055770874E-9</v>
      </c>
      <c r="F141" s="46">
        <f t="shared" ref="F141:F204" si="12">IF(B141&gt;$C$5,0,E140*C141/12)</f>
        <v>0</v>
      </c>
      <c r="G141" s="46">
        <f t="shared" si="9"/>
        <v>0</v>
      </c>
    </row>
    <row r="142" spans="2:7" x14ac:dyDescent="0.25">
      <c r="B142" s="45">
        <v>131</v>
      </c>
      <c r="C142" s="50">
        <f t="shared" si="10"/>
        <v>0.06</v>
      </c>
      <c r="D142" s="51">
        <f t="shared" si="11"/>
        <v>0</v>
      </c>
      <c r="E142" s="46">
        <f t="shared" ref="E142:E205" si="13">E141-G142</f>
        <v>-1.6298145055770874E-9</v>
      </c>
      <c r="F142" s="46">
        <f t="shared" si="12"/>
        <v>0</v>
      </c>
      <c r="G142" s="46">
        <f t="shared" ref="G142:G205" si="14">D142-F142</f>
        <v>0</v>
      </c>
    </row>
    <row r="143" spans="2:7" x14ac:dyDescent="0.25">
      <c r="B143" s="45">
        <v>132</v>
      </c>
      <c r="C143" s="50">
        <f t="shared" si="10"/>
        <v>0.06</v>
      </c>
      <c r="D143" s="51">
        <f t="shared" si="11"/>
        <v>0</v>
      </c>
      <c r="E143" s="46">
        <f t="shared" si="13"/>
        <v>-1.6298145055770874E-9</v>
      </c>
      <c r="F143" s="46">
        <f t="shared" si="12"/>
        <v>0</v>
      </c>
      <c r="G143" s="46">
        <f t="shared" si="14"/>
        <v>0</v>
      </c>
    </row>
    <row r="144" spans="2:7" x14ac:dyDescent="0.25">
      <c r="B144" s="45">
        <v>133</v>
      </c>
      <c r="C144" s="50">
        <f t="shared" si="10"/>
        <v>0.06</v>
      </c>
      <c r="D144" s="51">
        <f t="shared" si="11"/>
        <v>0</v>
      </c>
      <c r="E144" s="46">
        <f t="shared" si="13"/>
        <v>-1.6298145055770874E-9</v>
      </c>
      <c r="F144" s="46">
        <f t="shared" si="12"/>
        <v>0</v>
      </c>
      <c r="G144" s="46">
        <f t="shared" si="14"/>
        <v>0</v>
      </c>
    </row>
    <row r="145" spans="2:7" x14ac:dyDescent="0.25">
      <c r="B145" s="45">
        <v>134</v>
      </c>
      <c r="C145" s="50">
        <f t="shared" si="10"/>
        <v>0.06</v>
      </c>
      <c r="D145" s="51">
        <f t="shared" si="11"/>
        <v>0</v>
      </c>
      <c r="E145" s="46">
        <f t="shared" si="13"/>
        <v>-1.6298145055770874E-9</v>
      </c>
      <c r="F145" s="46">
        <f t="shared" si="12"/>
        <v>0</v>
      </c>
      <c r="G145" s="46">
        <f t="shared" si="14"/>
        <v>0</v>
      </c>
    </row>
    <row r="146" spans="2:7" x14ac:dyDescent="0.25">
      <c r="B146" s="45">
        <v>135</v>
      </c>
      <c r="C146" s="50">
        <f t="shared" si="10"/>
        <v>0.06</v>
      </c>
      <c r="D146" s="51">
        <f t="shared" si="11"/>
        <v>0</v>
      </c>
      <c r="E146" s="46">
        <f t="shared" si="13"/>
        <v>-1.6298145055770874E-9</v>
      </c>
      <c r="F146" s="46">
        <f t="shared" si="12"/>
        <v>0</v>
      </c>
      <c r="G146" s="46">
        <f t="shared" si="14"/>
        <v>0</v>
      </c>
    </row>
    <row r="147" spans="2:7" x14ac:dyDescent="0.25">
      <c r="B147" s="45">
        <v>136</v>
      </c>
      <c r="C147" s="50">
        <f t="shared" si="10"/>
        <v>0.06</v>
      </c>
      <c r="D147" s="51">
        <f t="shared" si="11"/>
        <v>0</v>
      </c>
      <c r="E147" s="46">
        <f t="shared" si="13"/>
        <v>-1.6298145055770874E-9</v>
      </c>
      <c r="F147" s="46">
        <f t="shared" si="12"/>
        <v>0</v>
      </c>
      <c r="G147" s="46">
        <f t="shared" si="14"/>
        <v>0</v>
      </c>
    </row>
    <row r="148" spans="2:7" x14ac:dyDescent="0.25">
      <c r="B148" s="45">
        <v>137</v>
      </c>
      <c r="C148" s="50">
        <f t="shared" si="10"/>
        <v>0.06</v>
      </c>
      <c r="D148" s="51">
        <f t="shared" si="11"/>
        <v>0</v>
      </c>
      <c r="E148" s="46">
        <f t="shared" si="13"/>
        <v>-1.6298145055770874E-9</v>
      </c>
      <c r="F148" s="46">
        <f t="shared" si="12"/>
        <v>0</v>
      </c>
      <c r="G148" s="46">
        <f t="shared" si="14"/>
        <v>0</v>
      </c>
    </row>
    <row r="149" spans="2:7" x14ac:dyDescent="0.25">
      <c r="B149" s="45">
        <v>138</v>
      </c>
      <c r="C149" s="50">
        <f t="shared" si="10"/>
        <v>0.06</v>
      </c>
      <c r="D149" s="51">
        <f t="shared" si="11"/>
        <v>0</v>
      </c>
      <c r="E149" s="46">
        <f t="shared" si="13"/>
        <v>-1.6298145055770874E-9</v>
      </c>
      <c r="F149" s="46">
        <f t="shared" si="12"/>
        <v>0</v>
      </c>
      <c r="G149" s="46">
        <f t="shared" si="14"/>
        <v>0</v>
      </c>
    </row>
    <row r="150" spans="2:7" x14ac:dyDescent="0.25">
      <c r="B150" s="45">
        <v>139</v>
      </c>
      <c r="C150" s="50">
        <f t="shared" si="10"/>
        <v>0.06</v>
      </c>
      <c r="D150" s="51">
        <f t="shared" si="11"/>
        <v>0</v>
      </c>
      <c r="E150" s="46">
        <f t="shared" si="13"/>
        <v>-1.6298145055770874E-9</v>
      </c>
      <c r="F150" s="46">
        <f t="shared" si="12"/>
        <v>0</v>
      </c>
      <c r="G150" s="46">
        <f t="shared" si="14"/>
        <v>0</v>
      </c>
    </row>
    <row r="151" spans="2:7" x14ac:dyDescent="0.25">
      <c r="B151" s="45">
        <v>140</v>
      </c>
      <c r="C151" s="50">
        <f t="shared" si="10"/>
        <v>0.06</v>
      </c>
      <c r="D151" s="51">
        <f t="shared" si="11"/>
        <v>0</v>
      </c>
      <c r="E151" s="46">
        <f t="shared" si="13"/>
        <v>-1.6298145055770874E-9</v>
      </c>
      <c r="F151" s="46">
        <f t="shared" si="12"/>
        <v>0</v>
      </c>
      <c r="G151" s="46">
        <f t="shared" si="14"/>
        <v>0</v>
      </c>
    </row>
    <row r="152" spans="2:7" x14ac:dyDescent="0.25">
      <c r="B152" s="45">
        <v>141</v>
      </c>
      <c r="C152" s="50">
        <f t="shared" si="10"/>
        <v>0.06</v>
      </c>
      <c r="D152" s="51">
        <f t="shared" si="11"/>
        <v>0</v>
      </c>
      <c r="E152" s="46">
        <f t="shared" si="13"/>
        <v>-1.6298145055770874E-9</v>
      </c>
      <c r="F152" s="46">
        <f t="shared" si="12"/>
        <v>0</v>
      </c>
      <c r="G152" s="46">
        <f t="shared" si="14"/>
        <v>0</v>
      </c>
    </row>
    <row r="153" spans="2:7" x14ac:dyDescent="0.25">
      <c r="B153" s="45">
        <v>142</v>
      </c>
      <c r="C153" s="50">
        <f t="shared" si="10"/>
        <v>0.06</v>
      </c>
      <c r="D153" s="51">
        <f t="shared" si="11"/>
        <v>0</v>
      </c>
      <c r="E153" s="46">
        <f t="shared" si="13"/>
        <v>-1.6298145055770874E-9</v>
      </c>
      <c r="F153" s="46">
        <f t="shared" si="12"/>
        <v>0</v>
      </c>
      <c r="G153" s="46">
        <f t="shared" si="14"/>
        <v>0</v>
      </c>
    </row>
    <row r="154" spans="2:7" x14ac:dyDescent="0.25">
      <c r="B154" s="45">
        <v>143</v>
      </c>
      <c r="C154" s="50">
        <f t="shared" si="10"/>
        <v>0.06</v>
      </c>
      <c r="D154" s="51">
        <f t="shared" si="11"/>
        <v>0</v>
      </c>
      <c r="E154" s="46">
        <f t="shared" si="13"/>
        <v>-1.6298145055770874E-9</v>
      </c>
      <c r="F154" s="46">
        <f t="shared" si="12"/>
        <v>0</v>
      </c>
      <c r="G154" s="46">
        <f t="shared" si="14"/>
        <v>0</v>
      </c>
    </row>
    <row r="155" spans="2:7" x14ac:dyDescent="0.25">
      <c r="B155" s="45">
        <v>144</v>
      </c>
      <c r="C155" s="50">
        <f t="shared" si="10"/>
        <v>0.06</v>
      </c>
      <c r="D155" s="51">
        <f t="shared" si="11"/>
        <v>0</v>
      </c>
      <c r="E155" s="46">
        <f t="shared" si="13"/>
        <v>-1.6298145055770874E-9</v>
      </c>
      <c r="F155" s="46">
        <f t="shared" si="12"/>
        <v>0</v>
      </c>
      <c r="G155" s="46">
        <f t="shared" si="14"/>
        <v>0</v>
      </c>
    </row>
    <row r="156" spans="2:7" x14ac:dyDescent="0.25">
      <c r="B156" s="45">
        <v>145</v>
      </c>
      <c r="C156" s="50">
        <f t="shared" si="10"/>
        <v>0.06</v>
      </c>
      <c r="D156" s="51">
        <f t="shared" si="11"/>
        <v>0</v>
      </c>
      <c r="E156" s="46">
        <f t="shared" si="13"/>
        <v>-1.6298145055770874E-9</v>
      </c>
      <c r="F156" s="46">
        <f t="shared" si="12"/>
        <v>0</v>
      </c>
      <c r="G156" s="46">
        <f t="shared" si="14"/>
        <v>0</v>
      </c>
    </row>
    <row r="157" spans="2:7" x14ac:dyDescent="0.25">
      <c r="B157" s="45">
        <v>146</v>
      </c>
      <c r="C157" s="50">
        <f t="shared" si="10"/>
        <v>0.06</v>
      </c>
      <c r="D157" s="51">
        <f t="shared" si="11"/>
        <v>0</v>
      </c>
      <c r="E157" s="46">
        <f t="shared" si="13"/>
        <v>-1.6298145055770874E-9</v>
      </c>
      <c r="F157" s="46">
        <f t="shared" si="12"/>
        <v>0</v>
      </c>
      <c r="G157" s="46">
        <f t="shared" si="14"/>
        <v>0</v>
      </c>
    </row>
    <row r="158" spans="2:7" x14ac:dyDescent="0.25">
      <c r="B158" s="45">
        <v>147</v>
      </c>
      <c r="C158" s="50">
        <f t="shared" si="10"/>
        <v>0.06</v>
      </c>
      <c r="D158" s="51">
        <f t="shared" si="11"/>
        <v>0</v>
      </c>
      <c r="E158" s="46">
        <f t="shared" si="13"/>
        <v>-1.6298145055770874E-9</v>
      </c>
      <c r="F158" s="46">
        <f t="shared" si="12"/>
        <v>0</v>
      </c>
      <c r="G158" s="46">
        <f t="shared" si="14"/>
        <v>0</v>
      </c>
    </row>
    <row r="159" spans="2:7" x14ac:dyDescent="0.25">
      <c r="B159" s="45">
        <v>148</v>
      </c>
      <c r="C159" s="50">
        <f t="shared" si="10"/>
        <v>0.06</v>
      </c>
      <c r="D159" s="51">
        <f t="shared" si="11"/>
        <v>0</v>
      </c>
      <c r="E159" s="46">
        <f t="shared" si="13"/>
        <v>-1.6298145055770874E-9</v>
      </c>
      <c r="F159" s="46">
        <f t="shared" si="12"/>
        <v>0</v>
      </c>
      <c r="G159" s="46">
        <f t="shared" si="14"/>
        <v>0</v>
      </c>
    </row>
    <row r="160" spans="2:7" x14ac:dyDescent="0.25">
      <c r="B160" s="45">
        <v>149</v>
      </c>
      <c r="C160" s="50">
        <f t="shared" si="10"/>
        <v>0.06</v>
      </c>
      <c r="D160" s="51">
        <f t="shared" si="11"/>
        <v>0</v>
      </c>
      <c r="E160" s="46">
        <f t="shared" si="13"/>
        <v>-1.6298145055770874E-9</v>
      </c>
      <c r="F160" s="46">
        <f t="shared" si="12"/>
        <v>0</v>
      </c>
      <c r="G160" s="46">
        <f t="shared" si="14"/>
        <v>0</v>
      </c>
    </row>
    <row r="161" spans="2:7" x14ac:dyDescent="0.25">
      <c r="B161" s="45">
        <v>150</v>
      </c>
      <c r="C161" s="50">
        <f t="shared" si="10"/>
        <v>0.06</v>
      </c>
      <c r="D161" s="51">
        <f t="shared" si="11"/>
        <v>0</v>
      </c>
      <c r="E161" s="46">
        <f t="shared" si="13"/>
        <v>-1.6298145055770874E-9</v>
      </c>
      <c r="F161" s="46">
        <f t="shared" si="12"/>
        <v>0</v>
      </c>
      <c r="G161" s="46">
        <f t="shared" si="14"/>
        <v>0</v>
      </c>
    </row>
    <row r="162" spans="2:7" x14ac:dyDescent="0.25">
      <c r="B162" s="45">
        <v>151</v>
      </c>
      <c r="C162" s="50">
        <f t="shared" si="10"/>
        <v>0.06</v>
      </c>
      <c r="D162" s="51">
        <f t="shared" si="11"/>
        <v>0</v>
      </c>
      <c r="E162" s="46">
        <f t="shared" si="13"/>
        <v>-1.6298145055770874E-9</v>
      </c>
      <c r="F162" s="46">
        <f t="shared" si="12"/>
        <v>0</v>
      </c>
      <c r="G162" s="46">
        <f t="shared" si="14"/>
        <v>0</v>
      </c>
    </row>
    <row r="163" spans="2:7" x14ac:dyDescent="0.25">
      <c r="B163" s="45">
        <v>152</v>
      </c>
      <c r="C163" s="50">
        <f t="shared" si="10"/>
        <v>0.06</v>
      </c>
      <c r="D163" s="51">
        <f t="shared" si="11"/>
        <v>0</v>
      </c>
      <c r="E163" s="46">
        <f t="shared" si="13"/>
        <v>-1.6298145055770874E-9</v>
      </c>
      <c r="F163" s="46">
        <f t="shared" si="12"/>
        <v>0</v>
      </c>
      <c r="G163" s="46">
        <f t="shared" si="14"/>
        <v>0</v>
      </c>
    </row>
    <row r="164" spans="2:7" x14ac:dyDescent="0.25">
      <c r="B164" s="45">
        <v>153</v>
      </c>
      <c r="C164" s="50">
        <f t="shared" si="10"/>
        <v>0.06</v>
      </c>
      <c r="D164" s="51">
        <f t="shared" si="11"/>
        <v>0</v>
      </c>
      <c r="E164" s="46">
        <f t="shared" si="13"/>
        <v>-1.6298145055770874E-9</v>
      </c>
      <c r="F164" s="46">
        <f t="shared" si="12"/>
        <v>0</v>
      </c>
      <c r="G164" s="46">
        <f t="shared" si="14"/>
        <v>0</v>
      </c>
    </row>
    <row r="165" spans="2:7" x14ac:dyDescent="0.25">
      <c r="B165" s="45">
        <v>154</v>
      </c>
      <c r="C165" s="50">
        <f t="shared" si="10"/>
        <v>0.06</v>
      </c>
      <c r="D165" s="51">
        <f t="shared" si="11"/>
        <v>0</v>
      </c>
      <c r="E165" s="46">
        <f t="shared" si="13"/>
        <v>-1.6298145055770874E-9</v>
      </c>
      <c r="F165" s="46">
        <f t="shared" si="12"/>
        <v>0</v>
      </c>
      <c r="G165" s="46">
        <f t="shared" si="14"/>
        <v>0</v>
      </c>
    </row>
    <row r="166" spans="2:7" x14ac:dyDescent="0.25">
      <c r="B166" s="45">
        <v>155</v>
      </c>
      <c r="C166" s="50">
        <f t="shared" si="10"/>
        <v>0.06</v>
      </c>
      <c r="D166" s="51">
        <f t="shared" si="11"/>
        <v>0</v>
      </c>
      <c r="E166" s="46">
        <f t="shared" si="13"/>
        <v>-1.6298145055770874E-9</v>
      </c>
      <c r="F166" s="46">
        <f t="shared" si="12"/>
        <v>0</v>
      </c>
      <c r="G166" s="46">
        <f t="shared" si="14"/>
        <v>0</v>
      </c>
    </row>
    <row r="167" spans="2:7" x14ac:dyDescent="0.25">
      <c r="B167" s="45">
        <v>156</v>
      </c>
      <c r="C167" s="50">
        <f t="shared" si="10"/>
        <v>0.06</v>
      </c>
      <c r="D167" s="51">
        <f t="shared" si="11"/>
        <v>0</v>
      </c>
      <c r="E167" s="46">
        <f t="shared" si="13"/>
        <v>-1.6298145055770874E-9</v>
      </c>
      <c r="F167" s="46">
        <f t="shared" si="12"/>
        <v>0</v>
      </c>
      <c r="G167" s="46">
        <f t="shared" si="14"/>
        <v>0</v>
      </c>
    </row>
    <row r="168" spans="2:7" x14ac:dyDescent="0.25">
      <c r="B168" s="45">
        <v>157</v>
      </c>
      <c r="C168" s="50">
        <f t="shared" si="10"/>
        <v>0.06</v>
      </c>
      <c r="D168" s="51">
        <f t="shared" si="11"/>
        <v>0</v>
      </c>
      <c r="E168" s="46">
        <f t="shared" si="13"/>
        <v>-1.6298145055770874E-9</v>
      </c>
      <c r="F168" s="46">
        <f t="shared" si="12"/>
        <v>0</v>
      </c>
      <c r="G168" s="46">
        <f t="shared" si="14"/>
        <v>0</v>
      </c>
    </row>
    <row r="169" spans="2:7" x14ac:dyDescent="0.25">
      <c r="B169" s="45">
        <v>158</v>
      </c>
      <c r="C169" s="50">
        <f t="shared" si="10"/>
        <v>0.06</v>
      </c>
      <c r="D169" s="51">
        <f t="shared" si="11"/>
        <v>0</v>
      </c>
      <c r="E169" s="46">
        <f t="shared" si="13"/>
        <v>-1.6298145055770874E-9</v>
      </c>
      <c r="F169" s="46">
        <f t="shared" si="12"/>
        <v>0</v>
      </c>
      <c r="G169" s="46">
        <f t="shared" si="14"/>
        <v>0</v>
      </c>
    </row>
    <row r="170" spans="2:7" x14ac:dyDescent="0.25">
      <c r="B170" s="45">
        <v>159</v>
      </c>
      <c r="C170" s="50">
        <f t="shared" si="10"/>
        <v>0.06</v>
      </c>
      <c r="D170" s="51">
        <f t="shared" si="11"/>
        <v>0</v>
      </c>
      <c r="E170" s="46">
        <f t="shared" si="13"/>
        <v>-1.6298145055770874E-9</v>
      </c>
      <c r="F170" s="46">
        <f t="shared" si="12"/>
        <v>0</v>
      </c>
      <c r="G170" s="46">
        <f t="shared" si="14"/>
        <v>0</v>
      </c>
    </row>
    <row r="171" spans="2:7" x14ac:dyDescent="0.25">
      <c r="B171" s="45">
        <v>160</v>
      </c>
      <c r="C171" s="50">
        <f t="shared" si="10"/>
        <v>0.06</v>
      </c>
      <c r="D171" s="51">
        <f t="shared" si="11"/>
        <v>0</v>
      </c>
      <c r="E171" s="46">
        <f t="shared" si="13"/>
        <v>-1.6298145055770874E-9</v>
      </c>
      <c r="F171" s="46">
        <f t="shared" si="12"/>
        <v>0</v>
      </c>
      <c r="G171" s="46">
        <f t="shared" si="14"/>
        <v>0</v>
      </c>
    </row>
    <row r="172" spans="2:7" x14ac:dyDescent="0.25">
      <c r="B172" s="45">
        <v>161</v>
      </c>
      <c r="C172" s="50">
        <f t="shared" si="10"/>
        <v>0.06</v>
      </c>
      <c r="D172" s="51">
        <f t="shared" si="11"/>
        <v>0</v>
      </c>
      <c r="E172" s="46">
        <f t="shared" si="13"/>
        <v>-1.6298145055770874E-9</v>
      </c>
      <c r="F172" s="46">
        <f t="shared" si="12"/>
        <v>0</v>
      </c>
      <c r="G172" s="46">
        <f t="shared" si="14"/>
        <v>0</v>
      </c>
    </row>
    <row r="173" spans="2:7" x14ac:dyDescent="0.25">
      <c r="B173" s="45">
        <v>162</v>
      </c>
      <c r="C173" s="50">
        <f t="shared" si="10"/>
        <v>0.06</v>
      </c>
      <c r="D173" s="51">
        <f t="shared" si="11"/>
        <v>0</v>
      </c>
      <c r="E173" s="46">
        <f t="shared" si="13"/>
        <v>-1.6298145055770874E-9</v>
      </c>
      <c r="F173" s="46">
        <f t="shared" si="12"/>
        <v>0</v>
      </c>
      <c r="G173" s="46">
        <f t="shared" si="14"/>
        <v>0</v>
      </c>
    </row>
    <row r="174" spans="2:7" x14ac:dyDescent="0.25">
      <c r="B174" s="45">
        <v>163</v>
      </c>
      <c r="C174" s="50">
        <f t="shared" si="10"/>
        <v>0.06</v>
      </c>
      <c r="D174" s="51">
        <f t="shared" si="11"/>
        <v>0</v>
      </c>
      <c r="E174" s="46">
        <f t="shared" si="13"/>
        <v>-1.6298145055770874E-9</v>
      </c>
      <c r="F174" s="46">
        <f t="shared" si="12"/>
        <v>0</v>
      </c>
      <c r="G174" s="46">
        <f t="shared" si="14"/>
        <v>0</v>
      </c>
    </row>
    <row r="175" spans="2:7" x14ac:dyDescent="0.25">
      <c r="B175" s="45">
        <v>164</v>
      </c>
      <c r="C175" s="50">
        <f t="shared" si="10"/>
        <v>0.06</v>
      </c>
      <c r="D175" s="51">
        <f t="shared" si="11"/>
        <v>0</v>
      </c>
      <c r="E175" s="46">
        <f t="shared" si="13"/>
        <v>-1.6298145055770874E-9</v>
      </c>
      <c r="F175" s="46">
        <f t="shared" si="12"/>
        <v>0</v>
      </c>
      <c r="G175" s="46">
        <f t="shared" si="14"/>
        <v>0</v>
      </c>
    </row>
    <row r="176" spans="2:7" x14ac:dyDescent="0.25">
      <c r="B176" s="45">
        <v>165</v>
      </c>
      <c r="C176" s="50">
        <f t="shared" si="10"/>
        <v>0.06</v>
      </c>
      <c r="D176" s="51">
        <f t="shared" si="11"/>
        <v>0</v>
      </c>
      <c r="E176" s="46">
        <f t="shared" si="13"/>
        <v>-1.6298145055770874E-9</v>
      </c>
      <c r="F176" s="46">
        <f t="shared" si="12"/>
        <v>0</v>
      </c>
      <c r="G176" s="46">
        <f t="shared" si="14"/>
        <v>0</v>
      </c>
    </row>
    <row r="177" spans="2:7" x14ac:dyDescent="0.25">
      <c r="B177" s="45">
        <v>166</v>
      </c>
      <c r="C177" s="50">
        <f t="shared" si="10"/>
        <v>0.06</v>
      </c>
      <c r="D177" s="51">
        <f t="shared" si="11"/>
        <v>0</v>
      </c>
      <c r="E177" s="46">
        <f t="shared" si="13"/>
        <v>-1.6298145055770874E-9</v>
      </c>
      <c r="F177" s="46">
        <f t="shared" si="12"/>
        <v>0</v>
      </c>
      <c r="G177" s="46">
        <f t="shared" si="14"/>
        <v>0</v>
      </c>
    </row>
    <row r="178" spans="2:7" x14ac:dyDescent="0.25">
      <c r="B178" s="45">
        <v>167</v>
      </c>
      <c r="C178" s="50">
        <f t="shared" si="10"/>
        <v>0.06</v>
      </c>
      <c r="D178" s="51">
        <f t="shared" si="11"/>
        <v>0</v>
      </c>
      <c r="E178" s="46">
        <f t="shared" si="13"/>
        <v>-1.6298145055770874E-9</v>
      </c>
      <c r="F178" s="46">
        <f t="shared" si="12"/>
        <v>0</v>
      </c>
      <c r="G178" s="46">
        <f t="shared" si="14"/>
        <v>0</v>
      </c>
    </row>
    <row r="179" spans="2:7" x14ac:dyDescent="0.25">
      <c r="B179" s="45">
        <v>168</v>
      </c>
      <c r="C179" s="50">
        <f t="shared" si="10"/>
        <v>0.06</v>
      </c>
      <c r="D179" s="51">
        <f t="shared" si="11"/>
        <v>0</v>
      </c>
      <c r="E179" s="46">
        <f t="shared" si="13"/>
        <v>-1.6298145055770874E-9</v>
      </c>
      <c r="F179" s="46">
        <f t="shared" si="12"/>
        <v>0</v>
      </c>
      <c r="G179" s="46">
        <f t="shared" si="14"/>
        <v>0</v>
      </c>
    </row>
    <row r="180" spans="2:7" x14ac:dyDescent="0.25">
      <c r="B180" s="45">
        <v>169</v>
      </c>
      <c r="C180" s="50">
        <f t="shared" si="10"/>
        <v>0.06</v>
      </c>
      <c r="D180" s="51">
        <f t="shared" si="11"/>
        <v>0</v>
      </c>
      <c r="E180" s="46">
        <f t="shared" si="13"/>
        <v>-1.6298145055770874E-9</v>
      </c>
      <c r="F180" s="46">
        <f t="shared" si="12"/>
        <v>0</v>
      </c>
      <c r="G180" s="46">
        <f t="shared" si="14"/>
        <v>0</v>
      </c>
    </row>
    <row r="181" spans="2:7" x14ac:dyDescent="0.25">
      <c r="B181" s="45">
        <v>170</v>
      </c>
      <c r="C181" s="50">
        <f t="shared" si="10"/>
        <v>0.06</v>
      </c>
      <c r="D181" s="51">
        <f t="shared" si="11"/>
        <v>0</v>
      </c>
      <c r="E181" s="46">
        <f t="shared" si="13"/>
        <v>-1.6298145055770874E-9</v>
      </c>
      <c r="F181" s="46">
        <f t="shared" si="12"/>
        <v>0</v>
      </c>
      <c r="G181" s="46">
        <f t="shared" si="14"/>
        <v>0</v>
      </c>
    </row>
    <row r="182" spans="2:7" x14ac:dyDescent="0.25">
      <c r="B182" s="45">
        <v>171</v>
      </c>
      <c r="C182" s="50">
        <f t="shared" si="10"/>
        <v>0.06</v>
      </c>
      <c r="D182" s="51">
        <f t="shared" si="11"/>
        <v>0</v>
      </c>
      <c r="E182" s="46">
        <f t="shared" si="13"/>
        <v>-1.6298145055770874E-9</v>
      </c>
      <c r="F182" s="46">
        <f t="shared" si="12"/>
        <v>0</v>
      </c>
      <c r="G182" s="46">
        <f t="shared" si="14"/>
        <v>0</v>
      </c>
    </row>
    <row r="183" spans="2:7" x14ac:dyDescent="0.25">
      <c r="B183" s="45">
        <v>172</v>
      </c>
      <c r="C183" s="50">
        <f t="shared" si="10"/>
        <v>0.06</v>
      </c>
      <c r="D183" s="51">
        <f t="shared" si="11"/>
        <v>0</v>
      </c>
      <c r="E183" s="46">
        <f t="shared" si="13"/>
        <v>-1.6298145055770874E-9</v>
      </c>
      <c r="F183" s="46">
        <f t="shared" si="12"/>
        <v>0</v>
      </c>
      <c r="G183" s="46">
        <f t="shared" si="14"/>
        <v>0</v>
      </c>
    </row>
    <row r="184" spans="2:7" x14ac:dyDescent="0.25">
      <c r="B184" s="45">
        <v>173</v>
      </c>
      <c r="C184" s="50">
        <f t="shared" si="10"/>
        <v>0.06</v>
      </c>
      <c r="D184" s="51">
        <f t="shared" si="11"/>
        <v>0</v>
      </c>
      <c r="E184" s="46">
        <f t="shared" si="13"/>
        <v>-1.6298145055770874E-9</v>
      </c>
      <c r="F184" s="46">
        <f t="shared" si="12"/>
        <v>0</v>
      </c>
      <c r="G184" s="46">
        <f t="shared" si="14"/>
        <v>0</v>
      </c>
    </row>
    <row r="185" spans="2:7" x14ac:dyDescent="0.25">
      <c r="B185" s="45">
        <v>174</v>
      </c>
      <c r="C185" s="50">
        <f t="shared" si="10"/>
        <v>0.06</v>
      </c>
      <c r="D185" s="51">
        <f t="shared" si="11"/>
        <v>0</v>
      </c>
      <c r="E185" s="46">
        <f t="shared" si="13"/>
        <v>-1.6298145055770874E-9</v>
      </c>
      <c r="F185" s="46">
        <f t="shared" si="12"/>
        <v>0</v>
      </c>
      <c r="G185" s="46">
        <f t="shared" si="14"/>
        <v>0</v>
      </c>
    </row>
    <row r="186" spans="2:7" x14ac:dyDescent="0.25">
      <c r="B186" s="45">
        <v>175</v>
      </c>
      <c r="C186" s="50">
        <f t="shared" si="10"/>
        <v>0.06</v>
      </c>
      <c r="D186" s="51">
        <f t="shared" si="11"/>
        <v>0</v>
      </c>
      <c r="E186" s="46">
        <f t="shared" si="13"/>
        <v>-1.6298145055770874E-9</v>
      </c>
      <c r="F186" s="46">
        <f t="shared" si="12"/>
        <v>0</v>
      </c>
      <c r="G186" s="46">
        <f t="shared" si="14"/>
        <v>0</v>
      </c>
    </row>
    <row r="187" spans="2:7" x14ac:dyDescent="0.25">
      <c r="B187" s="45">
        <v>176</v>
      </c>
      <c r="C187" s="50">
        <f t="shared" si="10"/>
        <v>0.06</v>
      </c>
      <c r="D187" s="51">
        <f t="shared" si="11"/>
        <v>0</v>
      </c>
      <c r="E187" s="46">
        <f t="shared" si="13"/>
        <v>-1.6298145055770874E-9</v>
      </c>
      <c r="F187" s="46">
        <f t="shared" si="12"/>
        <v>0</v>
      </c>
      <c r="G187" s="46">
        <f t="shared" si="14"/>
        <v>0</v>
      </c>
    </row>
    <row r="188" spans="2:7" x14ac:dyDescent="0.25">
      <c r="B188" s="45">
        <v>177</v>
      </c>
      <c r="C188" s="50">
        <f t="shared" si="10"/>
        <v>0.06</v>
      </c>
      <c r="D188" s="51">
        <f t="shared" si="11"/>
        <v>0</v>
      </c>
      <c r="E188" s="46">
        <f t="shared" si="13"/>
        <v>-1.6298145055770874E-9</v>
      </c>
      <c r="F188" s="46">
        <f t="shared" si="12"/>
        <v>0</v>
      </c>
      <c r="G188" s="46">
        <f t="shared" si="14"/>
        <v>0</v>
      </c>
    </row>
    <row r="189" spans="2:7" x14ac:dyDescent="0.25">
      <c r="B189" s="45">
        <v>178</v>
      </c>
      <c r="C189" s="50">
        <f t="shared" si="10"/>
        <v>0.06</v>
      </c>
      <c r="D189" s="51">
        <f t="shared" si="11"/>
        <v>0</v>
      </c>
      <c r="E189" s="46">
        <f t="shared" si="13"/>
        <v>-1.6298145055770874E-9</v>
      </c>
      <c r="F189" s="46">
        <f t="shared" si="12"/>
        <v>0</v>
      </c>
      <c r="G189" s="46">
        <f t="shared" si="14"/>
        <v>0</v>
      </c>
    </row>
    <row r="190" spans="2:7" x14ac:dyDescent="0.25">
      <c r="B190" s="45">
        <v>179</v>
      </c>
      <c r="C190" s="50">
        <f t="shared" si="10"/>
        <v>0.06</v>
      </c>
      <c r="D190" s="51">
        <f t="shared" si="11"/>
        <v>0</v>
      </c>
      <c r="E190" s="46">
        <f t="shared" si="13"/>
        <v>-1.6298145055770874E-9</v>
      </c>
      <c r="F190" s="46">
        <f t="shared" si="12"/>
        <v>0</v>
      </c>
      <c r="G190" s="46">
        <f t="shared" si="14"/>
        <v>0</v>
      </c>
    </row>
    <row r="191" spans="2:7" x14ac:dyDescent="0.25">
      <c r="B191" s="45">
        <v>180</v>
      </c>
      <c r="C191" s="50">
        <f t="shared" si="10"/>
        <v>0.06</v>
      </c>
      <c r="D191" s="51">
        <f t="shared" si="11"/>
        <v>0</v>
      </c>
      <c r="E191" s="46">
        <f t="shared" si="13"/>
        <v>-1.6298145055770874E-9</v>
      </c>
      <c r="F191" s="46">
        <f t="shared" si="12"/>
        <v>0</v>
      </c>
      <c r="G191" s="46">
        <f t="shared" si="14"/>
        <v>0</v>
      </c>
    </row>
    <row r="192" spans="2:7" x14ac:dyDescent="0.25">
      <c r="B192" s="45">
        <v>181</v>
      </c>
      <c r="C192" s="50">
        <f t="shared" si="10"/>
        <v>0.06</v>
      </c>
      <c r="D192" s="51">
        <f t="shared" si="11"/>
        <v>0</v>
      </c>
      <c r="E192" s="46">
        <f t="shared" si="13"/>
        <v>-1.6298145055770874E-9</v>
      </c>
      <c r="F192" s="46">
        <f t="shared" si="12"/>
        <v>0</v>
      </c>
      <c r="G192" s="46">
        <f t="shared" si="14"/>
        <v>0</v>
      </c>
    </row>
    <row r="193" spans="2:7" x14ac:dyDescent="0.25">
      <c r="B193" s="45">
        <v>182</v>
      </c>
      <c r="C193" s="50">
        <f t="shared" si="10"/>
        <v>0.06</v>
      </c>
      <c r="D193" s="51">
        <f t="shared" si="11"/>
        <v>0</v>
      </c>
      <c r="E193" s="46">
        <f t="shared" si="13"/>
        <v>-1.6298145055770874E-9</v>
      </c>
      <c r="F193" s="46">
        <f t="shared" si="12"/>
        <v>0</v>
      </c>
      <c r="G193" s="46">
        <f t="shared" si="14"/>
        <v>0</v>
      </c>
    </row>
    <row r="194" spans="2:7" x14ac:dyDescent="0.25">
      <c r="B194" s="45">
        <v>183</v>
      </c>
      <c r="C194" s="50">
        <f t="shared" si="10"/>
        <v>0.06</v>
      </c>
      <c r="D194" s="51">
        <f t="shared" si="11"/>
        <v>0</v>
      </c>
      <c r="E194" s="46">
        <f t="shared" si="13"/>
        <v>-1.6298145055770874E-9</v>
      </c>
      <c r="F194" s="46">
        <f t="shared" si="12"/>
        <v>0</v>
      </c>
      <c r="G194" s="46">
        <f t="shared" si="14"/>
        <v>0</v>
      </c>
    </row>
    <row r="195" spans="2:7" x14ac:dyDescent="0.25">
      <c r="B195" s="45">
        <v>184</v>
      </c>
      <c r="C195" s="50">
        <f t="shared" si="10"/>
        <v>0.06</v>
      </c>
      <c r="D195" s="51">
        <f t="shared" si="11"/>
        <v>0</v>
      </c>
      <c r="E195" s="46">
        <f t="shared" si="13"/>
        <v>-1.6298145055770874E-9</v>
      </c>
      <c r="F195" s="46">
        <f t="shared" si="12"/>
        <v>0</v>
      </c>
      <c r="G195" s="46">
        <f t="shared" si="14"/>
        <v>0</v>
      </c>
    </row>
    <row r="196" spans="2:7" x14ac:dyDescent="0.25">
      <c r="B196" s="45">
        <v>185</v>
      </c>
      <c r="C196" s="50">
        <f t="shared" si="10"/>
        <v>0.06</v>
      </c>
      <c r="D196" s="51">
        <f t="shared" si="11"/>
        <v>0</v>
      </c>
      <c r="E196" s="46">
        <f t="shared" si="13"/>
        <v>-1.6298145055770874E-9</v>
      </c>
      <c r="F196" s="46">
        <f t="shared" si="12"/>
        <v>0</v>
      </c>
      <c r="G196" s="46">
        <f t="shared" si="14"/>
        <v>0</v>
      </c>
    </row>
    <row r="197" spans="2:7" x14ac:dyDescent="0.25">
      <c r="B197" s="45">
        <v>186</v>
      </c>
      <c r="C197" s="50">
        <f t="shared" si="10"/>
        <v>0.06</v>
      </c>
      <c r="D197" s="51">
        <f t="shared" si="11"/>
        <v>0</v>
      </c>
      <c r="E197" s="46">
        <f t="shared" si="13"/>
        <v>-1.6298145055770874E-9</v>
      </c>
      <c r="F197" s="46">
        <f t="shared" si="12"/>
        <v>0</v>
      </c>
      <c r="G197" s="46">
        <f t="shared" si="14"/>
        <v>0</v>
      </c>
    </row>
    <row r="198" spans="2:7" x14ac:dyDescent="0.25">
      <c r="B198" s="45">
        <v>187</v>
      </c>
      <c r="C198" s="50">
        <f t="shared" si="10"/>
        <v>0.06</v>
      </c>
      <c r="D198" s="51">
        <f t="shared" si="11"/>
        <v>0</v>
      </c>
      <c r="E198" s="46">
        <f t="shared" si="13"/>
        <v>-1.6298145055770874E-9</v>
      </c>
      <c r="F198" s="46">
        <f t="shared" si="12"/>
        <v>0</v>
      </c>
      <c r="G198" s="46">
        <f t="shared" si="14"/>
        <v>0</v>
      </c>
    </row>
    <row r="199" spans="2:7" x14ac:dyDescent="0.25">
      <c r="B199" s="45">
        <v>188</v>
      </c>
      <c r="C199" s="50">
        <f t="shared" si="10"/>
        <v>0.06</v>
      </c>
      <c r="D199" s="51">
        <f t="shared" si="11"/>
        <v>0</v>
      </c>
      <c r="E199" s="46">
        <f t="shared" si="13"/>
        <v>-1.6298145055770874E-9</v>
      </c>
      <c r="F199" s="46">
        <f t="shared" si="12"/>
        <v>0</v>
      </c>
      <c r="G199" s="46">
        <f t="shared" si="14"/>
        <v>0</v>
      </c>
    </row>
    <row r="200" spans="2:7" x14ac:dyDescent="0.25">
      <c r="B200" s="45">
        <v>189</v>
      </c>
      <c r="C200" s="50">
        <f t="shared" si="10"/>
        <v>0.06</v>
      </c>
      <c r="D200" s="51">
        <f t="shared" si="11"/>
        <v>0</v>
      </c>
      <c r="E200" s="46">
        <f t="shared" si="13"/>
        <v>-1.6298145055770874E-9</v>
      </c>
      <c r="F200" s="46">
        <f t="shared" si="12"/>
        <v>0</v>
      </c>
      <c r="G200" s="46">
        <f t="shared" si="14"/>
        <v>0</v>
      </c>
    </row>
    <row r="201" spans="2:7" x14ac:dyDescent="0.25">
      <c r="B201" s="45">
        <v>190</v>
      </c>
      <c r="C201" s="50">
        <f t="shared" si="10"/>
        <v>0.06</v>
      </c>
      <c r="D201" s="51">
        <f t="shared" si="11"/>
        <v>0</v>
      </c>
      <c r="E201" s="46">
        <f t="shared" si="13"/>
        <v>-1.6298145055770874E-9</v>
      </c>
      <c r="F201" s="46">
        <f t="shared" si="12"/>
        <v>0</v>
      </c>
      <c r="G201" s="46">
        <f t="shared" si="14"/>
        <v>0</v>
      </c>
    </row>
    <row r="202" spans="2:7" x14ac:dyDescent="0.25">
      <c r="B202" s="45">
        <v>191</v>
      </c>
      <c r="C202" s="50">
        <f t="shared" si="10"/>
        <v>0.06</v>
      </c>
      <c r="D202" s="51">
        <f t="shared" si="11"/>
        <v>0</v>
      </c>
      <c r="E202" s="46">
        <f t="shared" si="13"/>
        <v>-1.6298145055770874E-9</v>
      </c>
      <c r="F202" s="46">
        <f t="shared" si="12"/>
        <v>0</v>
      </c>
      <c r="G202" s="46">
        <f t="shared" si="14"/>
        <v>0</v>
      </c>
    </row>
    <row r="203" spans="2:7" x14ac:dyDescent="0.25">
      <c r="B203" s="45">
        <v>192</v>
      </c>
      <c r="C203" s="50">
        <f t="shared" si="10"/>
        <v>0.06</v>
      </c>
      <c r="D203" s="51">
        <f t="shared" si="11"/>
        <v>0</v>
      </c>
      <c r="E203" s="46">
        <f t="shared" si="13"/>
        <v>-1.6298145055770874E-9</v>
      </c>
      <c r="F203" s="46">
        <f t="shared" si="12"/>
        <v>0</v>
      </c>
      <c r="G203" s="46">
        <f t="shared" si="14"/>
        <v>0</v>
      </c>
    </row>
    <row r="204" spans="2:7" x14ac:dyDescent="0.25">
      <c r="B204" s="45">
        <v>193</v>
      </c>
      <c r="C204" s="50">
        <f t="shared" ref="C204:C267" si="15">IF(B204&gt;$C$6,$C$4,$C$3)</f>
        <v>0.06</v>
      </c>
      <c r="D204" s="51">
        <f t="shared" si="11"/>
        <v>0</v>
      </c>
      <c r="E204" s="46">
        <f t="shared" si="13"/>
        <v>-1.6298145055770874E-9</v>
      </c>
      <c r="F204" s="46">
        <f t="shared" si="12"/>
        <v>0</v>
      </c>
      <c r="G204" s="46">
        <f t="shared" si="14"/>
        <v>0</v>
      </c>
    </row>
    <row r="205" spans="2:7" x14ac:dyDescent="0.25">
      <c r="B205" s="45">
        <v>194</v>
      </c>
      <c r="C205" s="50">
        <f t="shared" si="15"/>
        <v>0.06</v>
      </c>
      <c r="D205" s="51">
        <f t="shared" ref="D205:D268" si="16">IF(B205&gt;$C$5,0,E204*(C205/12/(1-(1+C205/12)^(-($C$5-B204)))))</f>
        <v>0</v>
      </c>
      <c r="E205" s="46">
        <f t="shared" si="13"/>
        <v>-1.6298145055770874E-9</v>
      </c>
      <c r="F205" s="46">
        <f t="shared" ref="F205:F268" si="17">IF(B205&gt;$C$5,0,E204*C205/12)</f>
        <v>0</v>
      </c>
      <c r="G205" s="46">
        <f t="shared" si="14"/>
        <v>0</v>
      </c>
    </row>
    <row r="206" spans="2:7" x14ac:dyDescent="0.25">
      <c r="B206" s="45">
        <v>195</v>
      </c>
      <c r="C206" s="50">
        <f t="shared" si="15"/>
        <v>0.06</v>
      </c>
      <c r="D206" s="51">
        <f t="shared" si="16"/>
        <v>0</v>
      </c>
      <c r="E206" s="46">
        <f t="shared" ref="E206:E269" si="18">E205-G206</f>
        <v>-1.6298145055770874E-9</v>
      </c>
      <c r="F206" s="46">
        <f t="shared" si="17"/>
        <v>0</v>
      </c>
      <c r="G206" s="46">
        <f t="shared" ref="G206:G269" si="19">D206-F206</f>
        <v>0</v>
      </c>
    </row>
    <row r="207" spans="2:7" x14ac:dyDescent="0.25">
      <c r="B207" s="45">
        <v>196</v>
      </c>
      <c r="C207" s="50">
        <f t="shared" si="15"/>
        <v>0.06</v>
      </c>
      <c r="D207" s="51">
        <f t="shared" si="16"/>
        <v>0</v>
      </c>
      <c r="E207" s="46">
        <f t="shared" si="18"/>
        <v>-1.6298145055770874E-9</v>
      </c>
      <c r="F207" s="46">
        <f t="shared" si="17"/>
        <v>0</v>
      </c>
      <c r="G207" s="46">
        <f t="shared" si="19"/>
        <v>0</v>
      </c>
    </row>
    <row r="208" spans="2:7" x14ac:dyDescent="0.25">
      <c r="B208" s="45">
        <v>197</v>
      </c>
      <c r="C208" s="50">
        <f t="shared" si="15"/>
        <v>0.06</v>
      </c>
      <c r="D208" s="51">
        <f t="shared" si="16"/>
        <v>0</v>
      </c>
      <c r="E208" s="46">
        <f t="shared" si="18"/>
        <v>-1.6298145055770874E-9</v>
      </c>
      <c r="F208" s="46">
        <f t="shared" si="17"/>
        <v>0</v>
      </c>
      <c r="G208" s="46">
        <f t="shared" si="19"/>
        <v>0</v>
      </c>
    </row>
    <row r="209" spans="2:7" x14ac:dyDescent="0.25">
      <c r="B209" s="45">
        <v>198</v>
      </c>
      <c r="C209" s="50">
        <f t="shared" si="15"/>
        <v>0.06</v>
      </c>
      <c r="D209" s="51">
        <f t="shared" si="16"/>
        <v>0</v>
      </c>
      <c r="E209" s="46">
        <f t="shared" si="18"/>
        <v>-1.6298145055770874E-9</v>
      </c>
      <c r="F209" s="46">
        <f t="shared" si="17"/>
        <v>0</v>
      </c>
      <c r="G209" s="46">
        <f t="shared" si="19"/>
        <v>0</v>
      </c>
    </row>
    <row r="210" spans="2:7" x14ac:dyDescent="0.25">
      <c r="B210" s="45">
        <v>199</v>
      </c>
      <c r="C210" s="50">
        <f t="shared" si="15"/>
        <v>0.06</v>
      </c>
      <c r="D210" s="51">
        <f t="shared" si="16"/>
        <v>0</v>
      </c>
      <c r="E210" s="46">
        <f t="shared" si="18"/>
        <v>-1.6298145055770874E-9</v>
      </c>
      <c r="F210" s="46">
        <f t="shared" si="17"/>
        <v>0</v>
      </c>
      <c r="G210" s="46">
        <f t="shared" si="19"/>
        <v>0</v>
      </c>
    </row>
    <row r="211" spans="2:7" x14ac:dyDescent="0.25">
      <c r="B211" s="45">
        <v>200</v>
      </c>
      <c r="C211" s="50">
        <f t="shared" si="15"/>
        <v>0.06</v>
      </c>
      <c r="D211" s="51">
        <f t="shared" si="16"/>
        <v>0</v>
      </c>
      <c r="E211" s="46">
        <f t="shared" si="18"/>
        <v>-1.6298145055770874E-9</v>
      </c>
      <c r="F211" s="46">
        <f t="shared" si="17"/>
        <v>0</v>
      </c>
      <c r="G211" s="46">
        <f t="shared" si="19"/>
        <v>0</v>
      </c>
    </row>
    <row r="212" spans="2:7" x14ac:dyDescent="0.25">
      <c r="B212" s="45">
        <v>201</v>
      </c>
      <c r="C212" s="50">
        <f t="shared" si="15"/>
        <v>0.06</v>
      </c>
      <c r="D212" s="51">
        <f t="shared" si="16"/>
        <v>0</v>
      </c>
      <c r="E212" s="46">
        <f t="shared" si="18"/>
        <v>-1.6298145055770874E-9</v>
      </c>
      <c r="F212" s="46">
        <f t="shared" si="17"/>
        <v>0</v>
      </c>
      <c r="G212" s="46">
        <f t="shared" si="19"/>
        <v>0</v>
      </c>
    </row>
    <row r="213" spans="2:7" x14ac:dyDescent="0.25">
      <c r="B213" s="45">
        <v>202</v>
      </c>
      <c r="C213" s="50">
        <f t="shared" si="15"/>
        <v>0.06</v>
      </c>
      <c r="D213" s="51">
        <f t="shared" si="16"/>
        <v>0</v>
      </c>
      <c r="E213" s="46">
        <f t="shared" si="18"/>
        <v>-1.6298145055770874E-9</v>
      </c>
      <c r="F213" s="46">
        <f t="shared" si="17"/>
        <v>0</v>
      </c>
      <c r="G213" s="46">
        <f t="shared" si="19"/>
        <v>0</v>
      </c>
    </row>
    <row r="214" spans="2:7" x14ac:dyDescent="0.25">
      <c r="B214" s="45">
        <v>203</v>
      </c>
      <c r="C214" s="50">
        <f t="shared" si="15"/>
        <v>0.06</v>
      </c>
      <c r="D214" s="51">
        <f t="shared" si="16"/>
        <v>0</v>
      </c>
      <c r="E214" s="46">
        <f t="shared" si="18"/>
        <v>-1.6298145055770874E-9</v>
      </c>
      <c r="F214" s="46">
        <f t="shared" si="17"/>
        <v>0</v>
      </c>
      <c r="G214" s="46">
        <f t="shared" si="19"/>
        <v>0</v>
      </c>
    </row>
    <row r="215" spans="2:7" x14ac:dyDescent="0.25">
      <c r="B215" s="45">
        <v>204</v>
      </c>
      <c r="C215" s="50">
        <f t="shared" si="15"/>
        <v>0.06</v>
      </c>
      <c r="D215" s="51">
        <f t="shared" si="16"/>
        <v>0</v>
      </c>
      <c r="E215" s="46">
        <f t="shared" si="18"/>
        <v>-1.6298145055770874E-9</v>
      </c>
      <c r="F215" s="46">
        <f t="shared" si="17"/>
        <v>0</v>
      </c>
      <c r="G215" s="46">
        <f t="shared" si="19"/>
        <v>0</v>
      </c>
    </row>
    <row r="216" spans="2:7" x14ac:dyDescent="0.25">
      <c r="B216" s="45">
        <v>205</v>
      </c>
      <c r="C216" s="50">
        <f t="shared" si="15"/>
        <v>0.06</v>
      </c>
      <c r="D216" s="51">
        <f t="shared" si="16"/>
        <v>0</v>
      </c>
      <c r="E216" s="46">
        <f t="shared" si="18"/>
        <v>-1.6298145055770874E-9</v>
      </c>
      <c r="F216" s="46">
        <f t="shared" si="17"/>
        <v>0</v>
      </c>
      <c r="G216" s="46">
        <f t="shared" si="19"/>
        <v>0</v>
      </c>
    </row>
    <row r="217" spans="2:7" x14ac:dyDescent="0.25">
      <c r="B217" s="45">
        <v>206</v>
      </c>
      <c r="C217" s="50">
        <f t="shared" si="15"/>
        <v>0.06</v>
      </c>
      <c r="D217" s="51">
        <f t="shared" si="16"/>
        <v>0</v>
      </c>
      <c r="E217" s="46">
        <f t="shared" si="18"/>
        <v>-1.6298145055770874E-9</v>
      </c>
      <c r="F217" s="46">
        <f t="shared" si="17"/>
        <v>0</v>
      </c>
      <c r="G217" s="46">
        <f t="shared" si="19"/>
        <v>0</v>
      </c>
    </row>
    <row r="218" spans="2:7" x14ac:dyDescent="0.25">
      <c r="B218" s="45">
        <v>207</v>
      </c>
      <c r="C218" s="50">
        <f t="shared" si="15"/>
        <v>0.06</v>
      </c>
      <c r="D218" s="51">
        <f t="shared" si="16"/>
        <v>0</v>
      </c>
      <c r="E218" s="46">
        <f t="shared" si="18"/>
        <v>-1.6298145055770874E-9</v>
      </c>
      <c r="F218" s="46">
        <f t="shared" si="17"/>
        <v>0</v>
      </c>
      <c r="G218" s="46">
        <f t="shared" si="19"/>
        <v>0</v>
      </c>
    </row>
    <row r="219" spans="2:7" x14ac:dyDescent="0.25">
      <c r="B219" s="45">
        <v>208</v>
      </c>
      <c r="C219" s="50">
        <f t="shared" si="15"/>
        <v>0.06</v>
      </c>
      <c r="D219" s="51">
        <f t="shared" si="16"/>
        <v>0</v>
      </c>
      <c r="E219" s="46">
        <f t="shared" si="18"/>
        <v>-1.6298145055770874E-9</v>
      </c>
      <c r="F219" s="46">
        <f t="shared" si="17"/>
        <v>0</v>
      </c>
      <c r="G219" s="46">
        <f t="shared" si="19"/>
        <v>0</v>
      </c>
    </row>
    <row r="220" spans="2:7" x14ac:dyDescent="0.25">
      <c r="B220" s="45">
        <v>209</v>
      </c>
      <c r="C220" s="50">
        <f t="shared" si="15"/>
        <v>0.06</v>
      </c>
      <c r="D220" s="51">
        <f t="shared" si="16"/>
        <v>0</v>
      </c>
      <c r="E220" s="46">
        <f t="shared" si="18"/>
        <v>-1.6298145055770874E-9</v>
      </c>
      <c r="F220" s="46">
        <f t="shared" si="17"/>
        <v>0</v>
      </c>
      <c r="G220" s="46">
        <f t="shared" si="19"/>
        <v>0</v>
      </c>
    </row>
    <row r="221" spans="2:7" x14ac:dyDescent="0.25">
      <c r="B221" s="45">
        <v>210</v>
      </c>
      <c r="C221" s="50">
        <f t="shared" si="15"/>
        <v>0.06</v>
      </c>
      <c r="D221" s="51">
        <f t="shared" si="16"/>
        <v>0</v>
      </c>
      <c r="E221" s="46">
        <f t="shared" si="18"/>
        <v>-1.6298145055770874E-9</v>
      </c>
      <c r="F221" s="46">
        <f t="shared" si="17"/>
        <v>0</v>
      </c>
      <c r="G221" s="46">
        <f t="shared" si="19"/>
        <v>0</v>
      </c>
    </row>
    <row r="222" spans="2:7" x14ac:dyDescent="0.25">
      <c r="B222" s="45">
        <v>211</v>
      </c>
      <c r="C222" s="50">
        <f t="shared" si="15"/>
        <v>0.06</v>
      </c>
      <c r="D222" s="51">
        <f t="shared" si="16"/>
        <v>0</v>
      </c>
      <c r="E222" s="46">
        <f t="shared" si="18"/>
        <v>-1.6298145055770874E-9</v>
      </c>
      <c r="F222" s="46">
        <f t="shared" si="17"/>
        <v>0</v>
      </c>
      <c r="G222" s="46">
        <f t="shared" si="19"/>
        <v>0</v>
      </c>
    </row>
    <row r="223" spans="2:7" x14ac:dyDescent="0.25">
      <c r="B223" s="45">
        <v>212</v>
      </c>
      <c r="C223" s="50">
        <f t="shared" si="15"/>
        <v>0.06</v>
      </c>
      <c r="D223" s="51">
        <f t="shared" si="16"/>
        <v>0</v>
      </c>
      <c r="E223" s="46">
        <f t="shared" si="18"/>
        <v>-1.6298145055770874E-9</v>
      </c>
      <c r="F223" s="46">
        <f t="shared" si="17"/>
        <v>0</v>
      </c>
      <c r="G223" s="46">
        <f t="shared" si="19"/>
        <v>0</v>
      </c>
    </row>
    <row r="224" spans="2:7" x14ac:dyDescent="0.25">
      <c r="B224" s="45">
        <v>213</v>
      </c>
      <c r="C224" s="50">
        <f t="shared" si="15"/>
        <v>0.06</v>
      </c>
      <c r="D224" s="51">
        <f t="shared" si="16"/>
        <v>0</v>
      </c>
      <c r="E224" s="46">
        <f t="shared" si="18"/>
        <v>-1.6298145055770874E-9</v>
      </c>
      <c r="F224" s="46">
        <f t="shared" si="17"/>
        <v>0</v>
      </c>
      <c r="G224" s="46">
        <f t="shared" si="19"/>
        <v>0</v>
      </c>
    </row>
    <row r="225" spans="2:7" x14ac:dyDescent="0.25">
      <c r="B225" s="45">
        <v>214</v>
      </c>
      <c r="C225" s="50">
        <f t="shared" si="15"/>
        <v>0.06</v>
      </c>
      <c r="D225" s="51">
        <f t="shared" si="16"/>
        <v>0</v>
      </c>
      <c r="E225" s="46">
        <f t="shared" si="18"/>
        <v>-1.6298145055770874E-9</v>
      </c>
      <c r="F225" s="46">
        <f t="shared" si="17"/>
        <v>0</v>
      </c>
      <c r="G225" s="46">
        <f t="shared" si="19"/>
        <v>0</v>
      </c>
    </row>
    <row r="226" spans="2:7" x14ac:dyDescent="0.25">
      <c r="B226" s="45">
        <v>215</v>
      </c>
      <c r="C226" s="50">
        <f t="shared" si="15"/>
        <v>0.06</v>
      </c>
      <c r="D226" s="51">
        <f t="shared" si="16"/>
        <v>0</v>
      </c>
      <c r="E226" s="46">
        <f t="shared" si="18"/>
        <v>-1.6298145055770874E-9</v>
      </c>
      <c r="F226" s="46">
        <f t="shared" si="17"/>
        <v>0</v>
      </c>
      <c r="G226" s="46">
        <f t="shared" si="19"/>
        <v>0</v>
      </c>
    </row>
    <row r="227" spans="2:7" x14ac:dyDescent="0.25">
      <c r="B227" s="45">
        <v>216</v>
      </c>
      <c r="C227" s="50">
        <f t="shared" si="15"/>
        <v>0.06</v>
      </c>
      <c r="D227" s="51">
        <f t="shared" si="16"/>
        <v>0</v>
      </c>
      <c r="E227" s="46">
        <f t="shared" si="18"/>
        <v>-1.6298145055770874E-9</v>
      </c>
      <c r="F227" s="46">
        <f t="shared" si="17"/>
        <v>0</v>
      </c>
      <c r="G227" s="46">
        <f t="shared" si="19"/>
        <v>0</v>
      </c>
    </row>
    <row r="228" spans="2:7" x14ac:dyDescent="0.25">
      <c r="B228" s="45">
        <v>217</v>
      </c>
      <c r="C228" s="50">
        <f t="shared" si="15"/>
        <v>0.06</v>
      </c>
      <c r="D228" s="51">
        <f t="shared" si="16"/>
        <v>0</v>
      </c>
      <c r="E228" s="46">
        <f t="shared" si="18"/>
        <v>-1.6298145055770874E-9</v>
      </c>
      <c r="F228" s="46">
        <f t="shared" si="17"/>
        <v>0</v>
      </c>
      <c r="G228" s="46">
        <f t="shared" si="19"/>
        <v>0</v>
      </c>
    </row>
    <row r="229" spans="2:7" x14ac:dyDescent="0.25">
      <c r="B229" s="45">
        <v>218</v>
      </c>
      <c r="C229" s="50">
        <f t="shared" si="15"/>
        <v>0.06</v>
      </c>
      <c r="D229" s="51">
        <f t="shared" si="16"/>
        <v>0</v>
      </c>
      <c r="E229" s="46">
        <f t="shared" si="18"/>
        <v>-1.6298145055770874E-9</v>
      </c>
      <c r="F229" s="46">
        <f t="shared" si="17"/>
        <v>0</v>
      </c>
      <c r="G229" s="46">
        <f t="shared" si="19"/>
        <v>0</v>
      </c>
    </row>
    <row r="230" spans="2:7" x14ac:dyDescent="0.25">
      <c r="B230" s="45">
        <v>219</v>
      </c>
      <c r="C230" s="50">
        <f t="shared" si="15"/>
        <v>0.06</v>
      </c>
      <c r="D230" s="51">
        <f t="shared" si="16"/>
        <v>0</v>
      </c>
      <c r="E230" s="46">
        <f t="shared" si="18"/>
        <v>-1.6298145055770874E-9</v>
      </c>
      <c r="F230" s="46">
        <f t="shared" si="17"/>
        <v>0</v>
      </c>
      <c r="G230" s="46">
        <f t="shared" si="19"/>
        <v>0</v>
      </c>
    </row>
    <row r="231" spans="2:7" x14ac:dyDescent="0.25">
      <c r="B231" s="45">
        <v>220</v>
      </c>
      <c r="C231" s="50">
        <f t="shared" si="15"/>
        <v>0.06</v>
      </c>
      <c r="D231" s="51">
        <f t="shared" si="16"/>
        <v>0</v>
      </c>
      <c r="E231" s="46">
        <f t="shared" si="18"/>
        <v>-1.6298145055770874E-9</v>
      </c>
      <c r="F231" s="46">
        <f t="shared" si="17"/>
        <v>0</v>
      </c>
      <c r="G231" s="46">
        <f t="shared" si="19"/>
        <v>0</v>
      </c>
    </row>
    <row r="232" spans="2:7" x14ac:dyDescent="0.25">
      <c r="B232" s="45">
        <v>221</v>
      </c>
      <c r="C232" s="50">
        <f t="shared" si="15"/>
        <v>0.06</v>
      </c>
      <c r="D232" s="51">
        <f t="shared" si="16"/>
        <v>0</v>
      </c>
      <c r="E232" s="46">
        <f t="shared" si="18"/>
        <v>-1.6298145055770874E-9</v>
      </c>
      <c r="F232" s="46">
        <f t="shared" si="17"/>
        <v>0</v>
      </c>
      <c r="G232" s="46">
        <f t="shared" si="19"/>
        <v>0</v>
      </c>
    </row>
    <row r="233" spans="2:7" x14ac:dyDescent="0.25">
      <c r="B233" s="45">
        <v>222</v>
      </c>
      <c r="C233" s="50">
        <f t="shared" si="15"/>
        <v>0.06</v>
      </c>
      <c r="D233" s="51">
        <f t="shared" si="16"/>
        <v>0</v>
      </c>
      <c r="E233" s="46">
        <f t="shared" si="18"/>
        <v>-1.6298145055770874E-9</v>
      </c>
      <c r="F233" s="46">
        <f t="shared" si="17"/>
        <v>0</v>
      </c>
      <c r="G233" s="46">
        <f t="shared" si="19"/>
        <v>0</v>
      </c>
    </row>
    <row r="234" spans="2:7" x14ac:dyDescent="0.25">
      <c r="B234" s="45">
        <v>223</v>
      </c>
      <c r="C234" s="50">
        <f t="shared" si="15"/>
        <v>0.06</v>
      </c>
      <c r="D234" s="51">
        <f t="shared" si="16"/>
        <v>0</v>
      </c>
      <c r="E234" s="46">
        <f t="shared" si="18"/>
        <v>-1.6298145055770874E-9</v>
      </c>
      <c r="F234" s="46">
        <f t="shared" si="17"/>
        <v>0</v>
      </c>
      <c r="G234" s="46">
        <f t="shared" si="19"/>
        <v>0</v>
      </c>
    </row>
    <row r="235" spans="2:7" x14ac:dyDescent="0.25">
      <c r="B235" s="45">
        <v>224</v>
      </c>
      <c r="C235" s="50">
        <f t="shared" si="15"/>
        <v>0.06</v>
      </c>
      <c r="D235" s="51">
        <f t="shared" si="16"/>
        <v>0</v>
      </c>
      <c r="E235" s="46">
        <f t="shared" si="18"/>
        <v>-1.6298145055770874E-9</v>
      </c>
      <c r="F235" s="46">
        <f t="shared" si="17"/>
        <v>0</v>
      </c>
      <c r="G235" s="46">
        <f t="shared" si="19"/>
        <v>0</v>
      </c>
    </row>
    <row r="236" spans="2:7" x14ac:dyDescent="0.25">
      <c r="B236" s="45">
        <v>225</v>
      </c>
      <c r="C236" s="50">
        <f t="shared" si="15"/>
        <v>0.06</v>
      </c>
      <c r="D236" s="51">
        <f t="shared" si="16"/>
        <v>0</v>
      </c>
      <c r="E236" s="46">
        <f t="shared" si="18"/>
        <v>-1.6298145055770874E-9</v>
      </c>
      <c r="F236" s="46">
        <f t="shared" si="17"/>
        <v>0</v>
      </c>
      <c r="G236" s="46">
        <f t="shared" si="19"/>
        <v>0</v>
      </c>
    </row>
    <row r="237" spans="2:7" x14ac:dyDescent="0.25">
      <c r="B237" s="45">
        <v>226</v>
      </c>
      <c r="C237" s="50">
        <f t="shared" si="15"/>
        <v>0.06</v>
      </c>
      <c r="D237" s="51">
        <f t="shared" si="16"/>
        <v>0</v>
      </c>
      <c r="E237" s="46">
        <f t="shared" si="18"/>
        <v>-1.6298145055770874E-9</v>
      </c>
      <c r="F237" s="46">
        <f t="shared" si="17"/>
        <v>0</v>
      </c>
      <c r="G237" s="46">
        <f t="shared" si="19"/>
        <v>0</v>
      </c>
    </row>
    <row r="238" spans="2:7" x14ac:dyDescent="0.25">
      <c r="B238" s="45">
        <v>227</v>
      </c>
      <c r="C238" s="50">
        <f t="shared" si="15"/>
        <v>0.06</v>
      </c>
      <c r="D238" s="51">
        <f t="shared" si="16"/>
        <v>0</v>
      </c>
      <c r="E238" s="46">
        <f t="shared" si="18"/>
        <v>-1.6298145055770874E-9</v>
      </c>
      <c r="F238" s="46">
        <f t="shared" si="17"/>
        <v>0</v>
      </c>
      <c r="G238" s="46">
        <f t="shared" si="19"/>
        <v>0</v>
      </c>
    </row>
    <row r="239" spans="2:7" x14ac:dyDescent="0.25">
      <c r="B239" s="45">
        <v>228</v>
      </c>
      <c r="C239" s="50">
        <f t="shared" si="15"/>
        <v>0.06</v>
      </c>
      <c r="D239" s="51">
        <f t="shared" si="16"/>
        <v>0</v>
      </c>
      <c r="E239" s="46">
        <f t="shared" si="18"/>
        <v>-1.6298145055770874E-9</v>
      </c>
      <c r="F239" s="46">
        <f t="shared" si="17"/>
        <v>0</v>
      </c>
      <c r="G239" s="46">
        <f t="shared" si="19"/>
        <v>0</v>
      </c>
    </row>
    <row r="240" spans="2:7" x14ac:dyDescent="0.25">
      <c r="B240" s="45">
        <v>229</v>
      </c>
      <c r="C240" s="50">
        <f t="shared" si="15"/>
        <v>0.06</v>
      </c>
      <c r="D240" s="51">
        <f t="shared" si="16"/>
        <v>0</v>
      </c>
      <c r="E240" s="46">
        <f t="shared" si="18"/>
        <v>-1.6298145055770874E-9</v>
      </c>
      <c r="F240" s="46">
        <f t="shared" si="17"/>
        <v>0</v>
      </c>
      <c r="G240" s="46">
        <f t="shared" si="19"/>
        <v>0</v>
      </c>
    </row>
    <row r="241" spans="2:7" x14ac:dyDescent="0.25">
      <c r="B241" s="45">
        <v>230</v>
      </c>
      <c r="C241" s="50">
        <f t="shared" si="15"/>
        <v>0.06</v>
      </c>
      <c r="D241" s="51">
        <f t="shared" si="16"/>
        <v>0</v>
      </c>
      <c r="E241" s="46">
        <f t="shared" si="18"/>
        <v>-1.6298145055770874E-9</v>
      </c>
      <c r="F241" s="46">
        <f t="shared" si="17"/>
        <v>0</v>
      </c>
      <c r="G241" s="46">
        <f t="shared" si="19"/>
        <v>0</v>
      </c>
    </row>
    <row r="242" spans="2:7" x14ac:dyDescent="0.25">
      <c r="B242" s="45">
        <v>231</v>
      </c>
      <c r="C242" s="50">
        <f t="shared" si="15"/>
        <v>0.06</v>
      </c>
      <c r="D242" s="51">
        <f t="shared" si="16"/>
        <v>0</v>
      </c>
      <c r="E242" s="46">
        <f t="shared" si="18"/>
        <v>-1.6298145055770874E-9</v>
      </c>
      <c r="F242" s="46">
        <f t="shared" si="17"/>
        <v>0</v>
      </c>
      <c r="G242" s="46">
        <f t="shared" si="19"/>
        <v>0</v>
      </c>
    </row>
    <row r="243" spans="2:7" x14ac:dyDescent="0.25">
      <c r="B243" s="45">
        <v>232</v>
      </c>
      <c r="C243" s="50">
        <f t="shared" si="15"/>
        <v>0.06</v>
      </c>
      <c r="D243" s="51">
        <f t="shared" si="16"/>
        <v>0</v>
      </c>
      <c r="E243" s="46">
        <f t="shared" si="18"/>
        <v>-1.6298145055770874E-9</v>
      </c>
      <c r="F243" s="46">
        <f t="shared" si="17"/>
        <v>0</v>
      </c>
      <c r="G243" s="46">
        <f t="shared" si="19"/>
        <v>0</v>
      </c>
    </row>
    <row r="244" spans="2:7" x14ac:dyDescent="0.25">
      <c r="B244" s="45">
        <v>233</v>
      </c>
      <c r="C244" s="50">
        <f t="shared" si="15"/>
        <v>0.06</v>
      </c>
      <c r="D244" s="51">
        <f t="shared" si="16"/>
        <v>0</v>
      </c>
      <c r="E244" s="46">
        <f t="shared" si="18"/>
        <v>-1.6298145055770874E-9</v>
      </c>
      <c r="F244" s="46">
        <f t="shared" si="17"/>
        <v>0</v>
      </c>
      <c r="G244" s="46">
        <f t="shared" si="19"/>
        <v>0</v>
      </c>
    </row>
    <row r="245" spans="2:7" x14ac:dyDescent="0.25">
      <c r="B245" s="45">
        <v>234</v>
      </c>
      <c r="C245" s="50">
        <f t="shared" si="15"/>
        <v>0.06</v>
      </c>
      <c r="D245" s="51">
        <f t="shared" si="16"/>
        <v>0</v>
      </c>
      <c r="E245" s="46">
        <f t="shared" si="18"/>
        <v>-1.6298145055770874E-9</v>
      </c>
      <c r="F245" s="46">
        <f t="shared" si="17"/>
        <v>0</v>
      </c>
      <c r="G245" s="46">
        <f t="shared" si="19"/>
        <v>0</v>
      </c>
    </row>
    <row r="246" spans="2:7" x14ac:dyDescent="0.25">
      <c r="B246" s="45">
        <v>235</v>
      </c>
      <c r="C246" s="50">
        <f t="shared" si="15"/>
        <v>0.06</v>
      </c>
      <c r="D246" s="51">
        <f t="shared" si="16"/>
        <v>0</v>
      </c>
      <c r="E246" s="46">
        <f t="shared" si="18"/>
        <v>-1.6298145055770874E-9</v>
      </c>
      <c r="F246" s="46">
        <f t="shared" si="17"/>
        <v>0</v>
      </c>
      <c r="G246" s="46">
        <f t="shared" si="19"/>
        <v>0</v>
      </c>
    </row>
    <row r="247" spans="2:7" x14ac:dyDescent="0.25">
      <c r="B247" s="45">
        <v>236</v>
      </c>
      <c r="C247" s="50">
        <f t="shared" si="15"/>
        <v>0.06</v>
      </c>
      <c r="D247" s="51">
        <f t="shared" si="16"/>
        <v>0</v>
      </c>
      <c r="E247" s="46">
        <f t="shared" si="18"/>
        <v>-1.6298145055770874E-9</v>
      </c>
      <c r="F247" s="46">
        <f t="shared" si="17"/>
        <v>0</v>
      </c>
      <c r="G247" s="46">
        <f t="shared" si="19"/>
        <v>0</v>
      </c>
    </row>
    <row r="248" spans="2:7" x14ac:dyDescent="0.25">
      <c r="B248" s="45">
        <v>237</v>
      </c>
      <c r="C248" s="50">
        <f t="shared" si="15"/>
        <v>0.06</v>
      </c>
      <c r="D248" s="51">
        <f t="shared" si="16"/>
        <v>0</v>
      </c>
      <c r="E248" s="46">
        <f t="shared" si="18"/>
        <v>-1.6298145055770874E-9</v>
      </c>
      <c r="F248" s="46">
        <f t="shared" si="17"/>
        <v>0</v>
      </c>
      <c r="G248" s="46">
        <f t="shared" si="19"/>
        <v>0</v>
      </c>
    </row>
    <row r="249" spans="2:7" x14ac:dyDescent="0.25">
      <c r="B249" s="45">
        <v>238</v>
      </c>
      <c r="C249" s="50">
        <f t="shared" si="15"/>
        <v>0.06</v>
      </c>
      <c r="D249" s="51">
        <f t="shared" si="16"/>
        <v>0</v>
      </c>
      <c r="E249" s="46">
        <f t="shared" si="18"/>
        <v>-1.6298145055770874E-9</v>
      </c>
      <c r="F249" s="46">
        <f t="shared" si="17"/>
        <v>0</v>
      </c>
      <c r="G249" s="46">
        <f t="shared" si="19"/>
        <v>0</v>
      </c>
    </row>
    <row r="250" spans="2:7" x14ac:dyDescent="0.25">
      <c r="B250" s="45">
        <v>239</v>
      </c>
      <c r="C250" s="50">
        <f t="shared" si="15"/>
        <v>0.06</v>
      </c>
      <c r="D250" s="51">
        <f t="shared" si="16"/>
        <v>0</v>
      </c>
      <c r="E250" s="46">
        <f t="shared" si="18"/>
        <v>-1.6298145055770874E-9</v>
      </c>
      <c r="F250" s="46">
        <f t="shared" si="17"/>
        <v>0</v>
      </c>
      <c r="G250" s="46">
        <f t="shared" si="19"/>
        <v>0</v>
      </c>
    </row>
    <row r="251" spans="2:7" x14ac:dyDescent="0.25">
      <c r="B251" s="45">
        <v>240</v>
      </c>
      <c r="C251" s="50">
        <f t="shared" si="15"/>
        <v>0.06</v>
      </c>
      <c r="D251" s="51">
        <f t="shared" si="16"/>
        <v>0</v>
      </c>
      <c r="E251" s="46">
        <f t="shared" si="18"/>
        <v>-1.6298145055770874E-9</v>
      </c>
      <c r="F251" s="46">
        <f t="shared" si="17"/>
        <v>0</v>
      </c>
      <c r="G251" s="46">
        <f t="shared" si="19"/>
        <v>0</v>
      </c>
    </row>
    <row r="252" spans="2:7" x14ac:dyDescent="0.25">
      <c r="B252" s="45">
        <v>241</v>
      </c>
      <c r="C252" s="50">
        <f t="shared" si="15"/>
        <v>0.06</v>
      </c>
      <c r="D252" s="51">
        <f t="shared" si="16"/>
        <v>0</v>
      </c>
      <c r="E252" s="46">
        <f t="shared" si="18"/>
        <v>-1.6298145055770874E-9</v>
      </c>
      <c r="F252" s="46">
        <f t="shared" si="17"/>
        <v>0</v>
      </c>
      <c r="G252" s="46">
        <f t="shared" si="19"/>
        <v>0</v>
      </c>
    </row>
    <row r="253" spans="2:7" x14ac:dyDescent="0.25">
      <c r="B253" s="45">
        <v>242</v>
      </c>
      <c r="C253" s="50">
        <f t="shared" si="15"/>
        <v>0.06</v>
      </c>
      <c r="D253" s="51">
        <f t="shared" si="16"/>
        <v>0</v>
      </c>
      <c r="E253" s="46">
        <f t="shared" si="18"/>
        <v>-1.6298145055770874E-9</v>
      </c>
      <c r="F253" s="46">
        <f t="shared" si="17"/>
        <v>0</v>
      </c>
      <c r="G253" s="46">
        <f t="shared" si="19"/>
        <v>0</v>
      </c>
    </row>
    <row r="254" spans="2:7" x14ac:dyDescent="0.25">
      <c r="B254" s="45">
        <v>243</v>
      </c>
      <c r="C254" s="50">
        <f t="shared" si="15"/>
        <v>0.06</v>
      </c>
      <c r="D254" s="51">
        <f t="shared" si="16"/>
        <v>0</v>
      </c>
      <c r="E254" s="46">
        <f t="shared" si="18"/>
        <v>-1.6298145055770874E-9</v>
      </c>
      <c r="F254" s="46">
        <f t="shared" si="17"/>
        <v>0</v>
      </c>
      <c r="G254" s="46">
        <f t="shared" si="19"/>
        <v>0</v>
      </c>
    </row>
    <row r="255" spans="2:7" x14ac:dyDescent="0.25">
      <c r="B255" s="45">
        <v>244</v>
      </c>
      <c r="C255" s="50">
        <f t="shared" si="15"/>
        <v>0.06</v>
      </c>
      <c r="D255" s="51">
        <f t="shared" si="16"/>
        <v>0</v>
      </c>
      <c r="E255" s="46">
        <f t="shared" si="18"/>
        <v>-1.6298145055770874E-9</v>
      </c>
      <c r="F255" s="46">
        <f t="shared" si="17"/>
        <v>0</v>
      </c>
      <c r="G255" s="46">
        <f t="shared" si="19"/>
        <v>0</v>
      </c>
    </row>
    <row r="256" spans="2:7" x14ac:dyDescent="0.25">
      <c r="B256" s="45">
        <v>245</v>
      </c>
      <c r="C256" s="50">
        <f t="shared" si="15"/>
        <v>0.06</v>
      </c>
      <c r="D256" s="51">
        <f t="shared" si="16"/>
        <v>0</v>
      </c>
      <c r="E256" s="46">
        <f t="shared" si="18"/>
        <v>-1.6298145055770874E-9</v>
      </c>
      <c r="F256" s="46">
        <f t="shared" si="17"/>
        <v>0</v>
      </c>
      <c r="G256" s="46">
        <f t="shared" si="19"/>
        <v>0</v>
      </c>
    </row>
    <row r="257" spans="2:7" x14ac:dyDescent="0.25">
      <c r="B257" s="45">
        <v>246</v>
      </c>
      <c r="C257" s="50">
        <f t="shared" si="15"/>
        <v>0.06</v>
      </c>
      <c r="D257" s="51">
        <f t="shared" si="16"/>
        <v>0</v>
      </c>
      <c r="E257" s="46">
        <f t="shared" si="18"/>
        <v>-1.6298145055770874E-9</v>
      </c>
      <c r="F257" s="46">
        <f t="shared" si="17"/>
        <v>0</v>
      </c>
      <c r="G257" s="46">
        <f t="shared" si="19"/>
        <v>0</v>
      </c>
    </row>
    <row r="258" spans="2:7" x14ac:dyDescent="0.25">
      <c r="B258" s="45">
        <v>247</v>
      </c>
      <c r="C258" s="50">
        <f t="shared" si="15"/>
        <v>0.06</v>
      </c>
      <c r="D258" s="51">
        <f t="shared" si="16"/>
        <v>0</v>
      </c>
      <c r="E258" s="46">
        <f t="shared" si="18"/>
        <v>-1.6298145055770874E-9</v>
      </c>
      <c r="F258" s="46">
        <f t="shared" si="17"/>
        <v>0</v>
      </c>
      <c r="G258" s="46">
        <f t="shared" si="19"/>
        <v>0</v>
      </c>
    </row>
    <row r="259" spans="2:7" x14ac:dyDescent="0.25">
      <c r="B259" s="45">
        <v>248</v>
      </c>
      <c r="C259" s="50">
        <f t="shared" si="15"/>
        <v>0.06</v>
      </c>
      <c r="D259" s="51">
        <f t="shared" si="16"/>
        <v>0</v>
      </c>
      <c r="E259" s="46">
        <f t="shared" si="18"/>
        <v>-1.6298145055770874E-9</v>
      </c>
      <c r="F259" s="46">
        <f t="shared" si="17"/>
        <v>0</v>
      </c>
      <c r="G259" s="46">
        <f t="shared" si="19"/>
        <v>0</v>
      </c>
    </row>
    <row r="260" spans="2:7" x14ac:dyDescent="0.25">
      <c r="B260" s="45">
        <v>249</v>
      </c>
      <c r="C260" s="50">
        <f t="shared" si="15"/>
        <v>0.06</v>
      </c>
      <c r="D260" s="51">
        <f t="shared" si="16"/>
        <v>0</v>
      </c>
      <c r="E260" s="46">
        <f t="shared" si="18"/>
        <v>-1.6298145055770874E-9</v>
      </c>
      <c r="F260" s="46">
        <f t="shared" si="17"/>
        <v>0</v>
      </c>
      <c r="G260" s="46">
        <f t="shared" si="19"/>
        <v>0</v>
      </c>
    </row>
    <row r="261" spans="2:7" x14ac:dyDescent="0.25">
      <c r="B261" s="45">
        <v>250</v>
      </c>
      <c r="C261" s="50">
        <f t="shared" si="15"/>
        <v>0.06</v>
      </c>
      <c r="D261" s="51">
        <f t="shared" si="16"/>
        <v>0</v>
      </c>
      <c r="E261" s="46">
        <f t="shared" si="18"/>
        <v>-1.6298145055770874E-9</v>
      </c>
      <c r="F261" s="46">
        <f t="shared" si="17"/>
        <v>0</v>
      </c>
      <c r="G261" s="46">
        <f t="shared" si="19"/>
        <v>0</v>
      </c>
    </row>
    <row r="262" spans="2:7" x14ac:dyDescent="0.25">
      <c r="B262" s="45">
        <v>251</v>
      </c>
      <c r="C262" s="50">
        <f t="shared" si="15"/>
        <v>0.06</v>
      </c>
      <c r="D262" s="51">
        <f t="shared" si="16"/>
        <v>0</v>
      </c>
      <c r="E262" s="46">
        <f t="shared" si="18"/>
        <v>-1.6298145055770874E-9</v>
      </c>
      <c r="F262" s="46">
        <f t="shared" si="17"/>
        <v>0</v>
      </c>
      <c r="G262" s="46">
        <f t="shared" si="19"/>
        <v>0</v>
      </c>
    </row>
    <row r="263" spans="2:7" x14ac:dyDescent="0.25">
      <c r="B263" s="45">
        <v>252</v>
      </c>
      <c r="C263" s="50">
        <f t="shared" si="15"/>
        <v>0.06</v>
      </c>
      <c r="D263" s="51">
        <f t="shared" si="16"/>
        <v>0</v>
      </c>
      <c r="E263" s="46">
        <f t="shared" si="18"/>
        <v>-1.6298145055770874E-9</v>
      </c>
      <c r="F263" s="46">
        <f t="shared" si="17"/>
        <v>0</v>
      </c>
      <c r="G263" s="46">
        <f t="shared" si="19"/>
        <v>0</v>
      </c>
    </row>
    <row r="264" spans="2:7" x14ac:dyDescent="0.25">
      <c r="B264" s="45">
        <v>253</v>
      </c>
      <c r="C264" s="50">
        <f t="shared" si="15"/>
        <v>0.06</v>
      </c>
      <c r="D264" s="51">
        <f t="shared" si="16"/>
        <v>0</v>
      </c>
      <c r="E264" s="46">
        <f t="shared" si="18"/>
        <v>-1.6298145055770874E-9</v>
      </c>
      <c r="F264" s="46">
        <f t="shared" si="17"/>
        <v>0</v>
      </c>
      <c r="G264" s="46">
        <f t="shared" si="19"/>
        <v>0</v>
      </c>
    </row>
    <row r="265" spans="2:7" x14ac:dyDescent="0.25">
      <c r="B265" s="45">
        <v>254</v>
      </c>
      <c r="C265" s="50">
        <f t="shared" si="15"/>
        <v>0.06</v>
      </c>
      <c r="D265" s="51">
        <f t="shared" si="16"/>
        <v>0</v>
      </c>
      <c r="E265" s="46">
        <f t="shared" si="18"/>
        <v>-1.6298145055770874E-9</v>
      </c>
      <c r="F265" s="46">
        <f t="shared" si="17"/>
        <v>0</v>
      </c>
      <c r="G265" s="46">
        <f t="shared" si="19"/>
        <v>0</v>
      </c>
    </row>
    <row r="266" spans="2:7" x14ac:dyDescent="0.25">
      <c r="B266" s="45">
        <v>255</v>
      </c>
      <c r="C266" s="50">
        <f t="shared" si="15"/>
        <v>0.06</v>
      </c>
      <c r="D266" s="51">
        <f t="shared" si="16"/>
        <v>0</v>
      </c>
      <c r="E266" s="46">
        <f t="shared" si="18"/>
        <v>-1.6298145055770874E-9</v>
      </c>
      <c r="F266" s="46">
        <f t="shared" si="17"/>
        <v>0</v>
      </c>
      <c r="G266" s="46">
        <f t="shared" si="19"/>
        <v>0</v>
      </c>
    </row>
    <row r="267" spans="2:7" x14ac:dyDescent="0.25">
      <c r="B267" s="45">
        <v>256</v>
      </c>
      <c r="C267" s="50">
        <f t="shared" si="15"/>
        <v>0.06</v>
      </c>
      <c r="D267" s="51">
        <f t="shared" si="16"/>
        <v>0</v>
      </c>
      <c r="E267" s="46">
        <f t="shared" si="18"/>
        <v>-1.6298145055770874E-9</v>
      </c>
      <c r="F267" s="46">
        <f t="shared" si="17"/>
        <v>0</v>
      </c>
      <c r="G267" s="46">
        <f t="shared" si="19"/>
        <v>0</v>
      </c>
    </row>
    <row r="268" spans="2:7" x14ac:dyDescent="0.25">
      <c r="B268" s="45">
        <v>257</v>
      </c>
      <c r="C268" s="50">
        <f t="shared" ref="C268:C331" si="20">IF(B268&gt;$C$6,$C$4,$C$3)</f>
        <v>0.06</v>
      </c>
      <c r="D268" s="51">
        <f t="shared" si="16"/>
        <v>0</v>
      </c>
      <c r="E268" s="46">
        <f t="shared" si="18"/>
        <v>-1.6298145055770874E-9</v>
      </c>
      <c r="F268" s="46">
        <f t="shared" si="17"/>
        <v>0</v>
      </c>
      <c r="G268" s="46">
        <f t="shared" si="19"/>
        <v>0</v>
      </c>
    </row>
    <row r="269" spans="2:7" x14ac:dyDescent="0.25">
      <c r="B269" s="45">
        <v>258</v>
      </c>
      <c r="C269" s="50">
        <f t="shared" si="20"/>
        <v>0.06</v>
      </c>
      <c r="D269" s="51">
        <f t="shared" ref="D269:D332" si="21">IF(B269&gt;$C$5,0,E268*(C269/12/(1-(1+C269/12)^(-($C$5-B268)))))</f>
        <v>0</v>
      </c>
      <c r="E269" s="46">
        <f t="shared" si="18"/>
        <v>-1.6298145055770874E-9</v>
      </c>
      <c r="F269" s="46">
        <f t="shared" ref="F269:F332" si="22">IF(B269&gt;$C$5,0,E268*C269/12)</f>
        <v>0</v>
      </c>
      <c r="G269" s="46">
        <f t="shared" si="19"/>
        <v>0</v>
      </c>
    </row>
    <row r="270" spans="2:7" x14ac:dyDescent="0.25">
      <c r="B270" s="45">
        <v>259</v>
      </c>
      <c r="C270" s="50">
        <f t="shared" si="20"/>
        <v>0.06</v>
      </c>
      <c r="D270" s="51">
        <f t="shared" si="21"/>
        <v>0</v>
      </c>
      <c r="E270" s="46">
        <f t="shared" ref="E270:E333" si="23">E269-G270</f>
        <v>-1.6298145055770874E-9</v>
      </c>
      <c r="F270" s="46">
        <f t="shared" si="22"/>
        <v>0</v>
      </c>
      <c r="G270" s="46">
        <f t="shared" ref="G270:G333" si="24">D270-F270</f>
        <v>0</v>
      </c>
    </row>
    <row r="271" spans="2:7" x14ac:dyDescent="0.25">
      <c r="B271" s="45">
        <v>260</v>
      </c>
      <c r="C271" s="50">
        <f t="shared" si="20"/>
        <v>0.06</v>
      </c>
      <c r="D271" s="51">
        <f t="shared" si="21"/>
        <v>0</v>
      </c>
      <c r="E271" s="46">
        <f t="shared" si="23"/>
        <v>-1.6298145055770874E-9</v>
      </c>
      <c r="F271" s="46">
        <f t="shared" si="22"/>
        <v>0</v>
      </c>
      <c r="G271" s="46">
        <f t="shared" si="24"/>
        <v>0</v>
      </c>
    </row>
    <row r="272" spans="2:7" x14ac:dyDescent="0.25">
      <c r="B272" s="45">
        <v>261</v>
      </c>
      <c r="C272" s="50">
        <f t="shared" si="20"/>
        <v>0.06</v>
      </c>
      <c r="D272" s="51">
        <f t="shared" si="21"/>
        <v>0</v>
      </c>
      <c r="E272" s="46">
        <f t="shared" si="23"/>
        <v>-1.6298145055770874E-9</v>
      </c>
      <c r="F272" s="46">
        <f t="shared" si="22"/>
        <v>0</v>
      </c>
      <c r="G272" s="46">
        <f t="shared" si="24"/>
        <v>0</v>
      </c>
    </row>
    <row r="273" spans="2:7" x14ac:dyDescent="0.25">
      <c r="B273" s="45">
        <v>262</v>
      </c>
      <c r="C273" s="50">
        <f t="shared" si="20"/>
        <v>0.06</v>
      </c>
      <c r="D273" s="51">
        <f t="shared" si="21"/>
        <v>0</v>
      </c>
      <c r="E273" s="46">
        <f t="shared" si="23"/>
        <v>-1.6298145055770874E-9</v>
      </c>
      <c r="F273" s="46">
        <f t="shared" si="22"/>
        <v>0</v>
      </c>
      <c r="G273" s="46">
        <f t="shared" si="24"/>
        <v>0</v>
      </c>
    </row>
    <row r="274" spans="2:7" x14ac:dyDescent="0.25">
      <c r="B274" s="45">
        <v>263</v>
      </c>
      <c r="C274" s="50">
        <f t="shared" si="20"/>
        <v>0.06</v>
      </c>
      <c r="D274" s="51">
        <f t="shared" si="21"/>
        <v>0</v>
      </c>
      <c r="E274" s="46">
        <f t="shared" si="23"/>
        <v>-1.6298145055770874E-9</v>
      </c>
      <c r="F274" s="46">
        <f t="shared" si="22"/>
        <v>0</v>
      </c>
      <c r="G274" s="46">
        <f t="shared" si="24"/>
        <v>0</v>
      </c>
    </row>
    <row r="275" spans="2:7" x14ac:dyDescent="0.25">
      <c r="B275" s="45">
        <v>264</v>
      </c>
      <c r="C275" s="50">
        <f t="shared" si="20"/>
        <v>0.06</v>
      </c>
      <c r="D275" s="51">
        <f t="shared" si="21"/>
        <v>0</v>
      </c>
      <c r="E275" s="46">
        <f t="shared" si="23"/>
        <v>-1.6298145055770874E-9</v>
      </c>
      <c r="F275" s="46">
        <f t="shared" si="22"/>
        <v>0</v>
      </c>
      <c r="G275" s="46">
        <f t="shared" si="24"/>
        <v>0</v>
      </c>
    </row>
    <row r="276" spans="2:7" x14ac:dyDescent="0.25">
      <c r="B276" s="45">
        <v>265</v>
      </c>
      <c r="C276" s="50">
        <f t="shared" si="20"/>
        <v>0.06</v>
      </c>
      <c r="D276" s="51">
        <f t="shared" si="21"/>
        <v>0</v>
      </c>
      <c r="E276" s="46">
        <f t="shared" si="23"/>
        <v>-1.6298145055770874E-9</v>
      </c>
      <c r="F276" s="46">
        <f t="shared" si="22"/>
        <v>0</v>
      </c>
      <c r="G276" s="46">
        <f t="shared" si="24"/>
        <v>0</v>
      </c>
    </row>
    <row r="277" spans="2:7" x14ac:dyDescent="0.25">
      <c r="B277" s="45">
        <v>266</v>
      </c>
      <c r="C277" s="50">
        <f t="shared" si="20"/>
        <v>0.06</v>
      </c>
      <c r="D277" s="51">
        <f t="shared" si="21"/>
        <v>0</v>
      </c>
      <c r="E277" s="46">
        <f t="shared" si="23"/>
        <v>-1.6298145055770874E-9</v>
      </c>
      <c r="F277" s="46">
        <f t="shared" si="22"/>
        <v>0</v>
      </c>
      <c r="G277" s="46">
        <f t="shared" si="24"/>
        <v>0</v>
      </c>
    </row>
    <row r="278" spans="2:7" x14ac:dyDescent="0.25">
      <c r="B278" s="45">
        <v>267</v>
      </c>
      <c r="C278" s="50">
        <f t="shared" si="20"/>
        <v>0.06</v>
      </c>
      <c r="D278" s="51">
        <f t="shared" si="21"/>
        <v>0</v>
      </c>
      <c r="E278" s="46">
        <f t="shared" si="23"/>
        <v>-1.6298145055770874E-9</v>
      </c>
      <c r="F278" s="46">
        <f t="shared" si="22"/>
        <v>0</v>
      </c>
      <c r="G278" s="46">
        <f t="shared" si="24"/>
        <v>0</v>
      </c>
    </row>
    <row r="279" spans="2:7" x14ac:dyDescent="0.25">
      <c r="B279" s="45">
        <v>268</v>
      </c>
      <c r="C279" s="50">
        <f t="shared" si="20"/>
        <v>0.06</v>
      </c>
      <c r="D279" s="51">
        <f t="shared" si="21"/>
        <v>0</v>
      </c>
      <c r="E279" s="46">
        <f t="shared" si="23"/>
        <v>-1.6298145055770874E-9</v>
      </c>
      <c r="F279" s="46">
        <f t="shared" si="22"/>
        <v>0</v>
      </c>
      <c r="G279" s="46">
        <f t="shared" si="24"/>
        <v>0</v>
      </c>
    </row>
    <row r="280" spans="2:7" x14ac:dyDescent="0.25">
      <c r="B280" s="45">
        <v>269</v>
      </c>
      <c r="C280" s="50">
        <f t="shared" si="20"/>
        <v>0.06</v>
      </c>
      <c r="D280" s="51">
        <f t="shared" si="21"/>
        <v>0</v>
      </c>
      <c r="E280" s="46">
        <f t="shared" si="23"/>
        <v>-1.6298145055770874E-9</v>
      </c>
      <c r="F280" s="46">
        <f t="shared" si="22"/>
        <v>0</v>
      </c>
      <c r="G280" s="46">
        <f t="shared" si="24"/>
        <v>0</v>
      </c>
    </row>
    <row r="281" spans="2:7" x14ac:dyDescent="0.25">
      <c r="B281" s="45">
        <v>270</v>
      </c>
      <c r="C281" s="50">
        <f t="shared" si="20"/>
        <v>0.06</v>
      </c>
      <c r="D281" s="51">
        <f t="shared" si="21"/>
        <v>0</v>
      </c>
      <c r="E281" s="46">
        <f t="shared" si="23"/>
        <v>-1.6298145055770874E-9</v>
      </c>
      <c r="F281" s="46">
        <f t="shared" si="22"/>
        <v>0</v>
      </c>
      <c r="G281" s="46">
        <f t="shared" si="24"/>
        <v>0</v>
      </c>
    </row>
    <row r="282" spans="2:7" x14ac:dyDescent="0.25">
      <c r="B282" s="45">
        <v>271</v>
      </c>
      <c r="C282" s="50">
        <f t="shared" si="20"/>
        <v>0.06</v>
      </c>
      <c r="D282" s="51">
        <f t="shared" si="21"/>
        <v>0</v>
      </c>
      <c r="E282" s="46">
        <f t="shared" si="23"/>
        <v>-1.6298145055770874E-9</v>
      </c>
      <c r="F282" s="46">
        <f t="shared" si="22"/>
        <v>0</v>
      </c>
      <c r="G282" s="46">
        <f t="shared" si="24"/>
        <v>0</v>
      </c>
    </row>
    <row r="283" spans="2:7" x14ac:dyDescent="0.25">
      <c r="B283" s="45">
        <v>272</v>
      </c>
      <c r="C283" s="50">
        <f t="shared" si="20"/>
        <v>0.06</v>
      </c>
      <c r="D283" s="51">
        <f t="shared" si="21"/>
        <v>0</v>
      </c>
      <c r="E283" s="46">
        <f t="shared" si="23"/>
        <v>-1.6298145055770874E-9</v>
      </c>
      <c r="F283" s="46">
        <f t="shared" si="22"/>
        <v>0</v>
      </c>
      <c r="G283" s="46">
        <f t="shared" si="24"/>
        <v>0</v>
      </c>
    </row>
    <row r="284" spans="2:7" x14ac:dyDescent="0.25">
      <c r="B284" s="45">
        <v>273</v>
      </c>
      <c r="C284" s="50">
        <f t="shared" si="20"/>
        <v>0.06</v>
      </c>
      <c r="D284" s="51">
        <f t="shared" si="21"/>
        <v>0</v>
      </c>
      <c r="E284" s="46">
        <f t="shared" si="23"/>
        <v>-1.6298145055770874E-9</v>
      </c>
      <c r="F284" s="46">
        <f t="shared" si="22"/>
        <v>0</v>
      </c>
      <c r="G284" s="46">
        <f t="shared" si="24"/>
        <v>0</v>
      </c>
    </row>
    <row r="285" spans="2:7" x14ac:dyDescent="0.25">
      <c r="B285" s="45">
        <v>274</v>
      </c>
      <c r="C285" s="50">
        <f t="shared" si="20"/>
        <v>0.06</v>
      </c>
      <c r="D285" s="51">
        <f t="shared" si="21"/>
        <v>0</v>
      </c>
      <c r="E285" s="46">
        <f t="shared" si="23"/>
        <v>-1.6298145055770874E-9</v>
      </c>
      <c r="F285" s="46">
        <f t="shared" si="22"/>
        <v>0</v>
      </c>
      <c r="G285" s="46">
        <f t="shared" si="24"/>
        <v>0</v>
      </c>
    </row>
    <row r="286" spans="2:7" x14ac:dyDescent="0.25">
      <c r="B286" s="45">
        <v>275</v>
      </c>
      <c r="C286" s="50">
        <f t="shared" si="20"/>
        <v>0.06</v>
      </c>
      <c r="D286" s="51">
        <f t="shared" si="21"/>
        <v>0</v>
      </c>
      <c r="E286" s="46">
        <f t="shared" si="23"/>
        <v>-1.6298145055770874E-9</v>
      </c>
      <c r="F286" s="46">
        <f t="shared" si="22"/>
        <v>0</v>
      </c>
      <c r="G286" s="46">
        <f t="shared" si="24"/>
        <v>0</v>
      </c>
    </row>
    <row r="287" spans="2:7" x14ac:dyDescent="0.25">
      <c r="B287" s="45">
        <v>276</v>
      </c>
      <c r="C287" s="50">
        <f t="shared" si="20"/>
        <v>0.06</v>
      </c>
      <c r="D287" s="51">
        <f t="shared" si="21"/>
        <v>0</v>
      </c>
      <c r="E287" s="46">
        <f t="shared" si="23"/>
        <v>-1.6298145055770874E-9</v>
      </c>
      <c r="F287" s="46">
        <f t="shared" si="22"/>
        <v>0</v>
      </c>
      <c r="G287" s="46">
        <f t="shared" si="24"/>
        <v>0</v>
      </c>
    </row>
    <row r="288" spans="2:7" x14ac:dyDescent="0.25">
      <c r="B288" s="45">
        <v>277</v>
      </c>
      <c r="C288" s="50">
        <f t="shared" si="20"/>
        <v>0.06</v>
      </c>
      <c r="D288" s="51">
        <f t="shared" si="21"/>
        <v>0</v>
      </c>
      <c r="E288" s="46">
        <f t="shared" si="23"/>
        <v>-1.6298145055770874E-9</v>
      </c>
      <c r="F288" s="46">
        <f t="shared" si="22"/>
        <v>0</v>
      </c>
      <c r="G288" s="46">
        <f t="shared" si="24"/>
        <v>0</v>
      </c>
    </row>
    <row r="289" spans="2:7" x14ac:dyDescent="0.25">
      <c r="B289" s="45">
        <v>278</v>
      </c>
      <c r="C289" s="50">
        <f t="shared" si="20"/>
        <v>0.06</v>
      </c>
      <c r="D289" s="51">
        <f t="shared" si="21"/>
        <v>0</v>
      </c>
      <c r="E289" s="46">
        <f t="shared" si="23"/>
        <v>-1.6298145055770874E-9</v>
      </c>
      <c r="F289" s="46">
        <f t="shared" si="22"/>
        <v>0</v>
      </c>
      <c r="G289" s="46">
        <f t="shared" si="24"/>
        <v>0</v>
      </c>
    </row>
    <row r="290" spans="2:7" x14ac:dyDescent="0.25">
      <c r="B290" s="45">
        <v>279</v>
      </c>
      <c r="C290" s="50">
        <f t="shared" si="20"/>
        <v>0.06</v>
      </c>
      <c r="D290" s="51">
        <f t="shared" si="21"/>
        <v>0</v>
      </c>
      <c r="E290" s="46">
        <f t="shared" si="23"/>
        <v>-1.6298145055770874E-9</v>
      </c>
      <c r="F290" s="46">
        <f t="shared" si="22"/>
        <v>0</v>
      </c>
      <c r="G290" s="46">
        <f t="shared" si="24"/>
        <v>0</v>
      </c>
    </row>
    <row r="291" spans="2:7" x14ac:dyDescent="0.25">
      <c r="B291" s="45">
        <v>280</v>
      </c>
      <c r="C291" s="50">
        <f t="shared" si="20"/>
        <v>0.06</v>
      </c>
      <c r="D291" s="51">
        <f t="shared" si="21"/>
        <v>0</v>
      </c>
      <c r="E291" s="46">
        <f t="shared" si="23"/>
        <v>-1.6298145055770874E-9</v>
      </c>
      <c r="F291" s="46">
        <f t="shared" si="22"/>
        <v>0</v>
      </c>
      <c r="G291" s="46">
        <f t="shared" si="24"/>
        <v>0</v>
      </c>
    </row>
    <row r="292" spans="2:7" x14ac:dyDescent="0.25">
      <c r="B292" s="45">
        <v>281</v>
      </c>
      <c r="C292" s="50">
        <f t="shared" si="20"/>
        <v>0.06</v>
      </c>
      <c r="D292" s="51">
        <f t="shared" si="21"/>
        <v>0</v>
      </c>
      <c r="E292" s="46">
        <f t="shared" si="23"/>
        <v>-1.6298145055770874E-9</v>
      </c>
      <c r="F292" s="46">
        <f t="shared" si="22"/>
        <v>0</v>
      </c>
      <c r="G292" s="46">
        <f t="shared" si="24"/>
        <v>0</v>
      </c>
    </row>
    <row r="293" spans="2:7" x14ac:dyDescent="0.25">
      <c r="B293" s="45">
        <v>282</v>
      </c>
      <c r="C293" s="50">
        <f t="shared" si="20"/>
        <v>0.06</v>
      </c>
      <c r="D293" s="51">
        <f t="shared" si="21"/>
        <v>0</v>
      </c>
      <c r="E293" s="46">
        <f t="shared" si="23"/>
        <v>-1.6298145055770874E-9</v>
      </c>
      <c r="F293" s="46">
        <f t="shared" si="22"/>
        <v>0</v>
      </c>
      <c r="G293" s="46">
        <f t="shared" si="24"/>
        <v>0</v>
      </c>
    </row>
    <row r="294" spans="2:7" x14ac:dyDescent="0.25">
      <c r="B294" s="45">
        <v>283</v>
      </c>
      <c r="C294" s="50">
        <f t="shared" si="20"/>
        <v>0.06</v>
      </c>
      <c r="D294" s="51">
        <f t="shared" si="21"/>
        <v>0</v>
      </c>
      <c r="E294" s="46">
        <f t="shared" si="23"/>
        <v>-1.6298145055770874E-9</v>
      </c>
      <c r="F294" s="46">
        <f t="shared" si="22"/>
        <v>0</v>
      </c>
      <c r="G294" s="46">
        <f t="shared" si="24"/>
        <v>0</v>
      </c>
    </row>
    <row r="295" spans="2:7" x14ac:dyDescent="0.25">
      <c r="B295" s="45">
        <v>284</v>
      </c>
      <c r="C295" s="50">
        <f t="shared" si="20"/>
        <v>0.06</v>
      </c>
      <c r="D295" s="51">
        <f t="shared" si="21"/>
        <v>0</v>
      </c>
      <c r="E295" s="46">
        <f t="shared" si="23"/>
        <v>-1.6298145055770874E-9</v>
      </c>
      <c r="F295" s="46">
        <f t="shared" si="22"/>
        <v>0</v>
      </c>
      <c r="G295" s="46">
        <f t="shared" si="24"/>
        <v>0</v>
      </c>
    </row>
    <row r="296" spans="2:7" x14ac:dyDescent="0.25">
      <c r="B296" s="45">
        <v>285</v>
      </c>
      <c r="C296" s="50">
        <f t="shared" si="20"/>
        <v>0.06</v>
      </c>
      <c r="D296" s="51">
        <f t="shared" si="21"/>
        <v>0</v>
      </c>
      <c r="E296" s="46">
        <f t="shared" si="23"/>
        <v>-1.6298145055770874E-9</v>
      </c>
      <c r="F296" s="46">
        <f t="shared" si="22"/>
        <v>0</v>
      </c>
      <c r="G296" s="46">
        <f t="shared" si="24"/>
        <v>0</v>
      </c>
    </row>
    <row r="297" spans="2:7" x14ac:dyDescent="0.25">
      <c r="B297" s="45">
        <v>286</v>
      </c>
      <c r="C297" s="50">
        <f t="shared" si="20"/>
        <v>0.06</v>
      </c>
      <c r="D297" s="51">
        <f t="shared" si="21"/>
        <v>0</v>
      </c>
      <c r="E297" s="46">
        <f t="shared" si="23"/>
        <v>-1.6298145055770874E-9</v>
      </c>
      <c r="F297" s="46">
        <f t="shared" si="22"/>
        <v>0</v>
      </c>
      <c r="G297" s="46">
        <f t="shared" si="24"/>
        <v>0</v>
      </c>
    </row>
    <row r="298" spans="2:7" x14ac:dyDescent="0.25">
      <c r="B298" s="45">
        <v>287</v>
      </c>
      <c r="C298" s="50">
        <f t="shared" si="20"/>
        <v>0.06</v>
      </c>
      <c r="D298" s="51">
        <f t="shared" si="21"/>
        <v>0</v>
      </c>
      <c r="E298" s="46">
        <f t="shared" si="23"/>
        <v>-1.6298145055770874E-9</v>
      </c>
      <c r="F298" s="46">
        <f t="shared" si="22"/>
        <v>0</v>
      </c>
      <c r="G298" s="46">
        <f t="shared" si="24"/>
        <v>0</v>
      </c>
    </row>
    <row r="299" spans="2:7" x14ac:dyDescent="0.25">
      <c r="B299" s="45">
        <v>288</v>
      </c>
      <c r="C299" s="50">
        <f t="shared" si="20"/>
        <v>0.06</v>
      </c>
      <c r="D299" s="51">
        <f t="shared" si="21"/>
        <v>0</v>
      </c>
      <c r="E299" s="46">
        <f t="shared" si="23"/>
        <v>-1.6298145055770874E-9</v>
      </c>
      <c r="F299" s="46">
        <f t="shared" si="22"/>
        <v>0</v>
      </c>
      <c r="G299" s="46">
        <f t="shared" si="24"/>
        <v>0</v>
      </c>
    </row>
    <row r="300" spans="2:7" x14ac:dyDescent="0.25">
      <c r="B300" s="45">
        <v>289</v>
      </c>
      <c r="C300" s="50">
        <f t="shared" si="20"/>
        <v>0.06</v>
      </c>
      <c r="D300" s="51">
        <f t="shared" si="21"/>
        <v>0</v>
      </c>
      <c r="E300" s="46">
        <f t="shared" si="23"/>
        <v>-1.6298145055770874E-9</v>
      </c>
      <c r="F300" s="46">
        <f t="shared" si="22"/>
        <v>0</v>
      </c>
      <c r="G300" s="46">
        <f t="shared" si="24"/>
        <v>0</v>
      </c>
    </row>
    <row r="301" spans="2:7" x14ac:dyDescent="0.25">
      <c r="B301" s="45">
        <v>290</v>
      </c>
      <c r="C301" s="50">
        <f t="shared" si="20"/>
        <v>0.06</v>
      </c>
      <c r="D301" s="51">
        <f t="shared" si="21"/>
        <v>0</v>
      </c>
      <c r="E301" s="46">
        <f t="shared" si="23"/>
        <v>-1.6298145055770874E-9</v>
      </c>
      <c r="F301" s="46">
        <f t="shared" si="22"/>
        <v>0</v>
      </c>
      <c r="G301" s="46">
        <f t="shared" si="24"/>
        <v>0</v>
      </c>
    </row>
    <row r="302" spans="2:7" x14ac:dyDescent="0.25">
      <c r="B302" s="45">
        <v>291</v>
      </c>
      <c r="C302" s="50">
        <f t="shared" si="20"/>
        <v>0.06</v>
      </c>
      <c r="D302" s="51">
        <f t="shared" si="21"/>
        <v>0</v>
      </c>
      <c r="E302" s="46">
        <f t="shared" si="23"/>
        <v>-1.6298145055770874E-9</v>
      </c>
      <c r="F302" s="46">
        <f t="shared" si="22"/>
        <v>0</v>
      </c>
      <c r="G302" s="46">
        <f t="shared" si="24"/>
        <v>0</v>
      </c>
    </row>
    <row r="303" spans="2:7" x14ac:dyDescent="0.25">
      <c r="B303" s="45">
        <v>292</v>
      </c>
      <c r="C303" s="50">
        <f t="shared" si="20"/>
        <v>0.06</v>
      </c>
      <c r="D303" s="51">
        <f t="shared" si="21"/>
        <v>0</v>
      </c>
      <c r="E303" s="46">
        <f t="shared" si="23"/>
        <v>-1.6298145055770874E-9</v>
      </c>
      <c r="F303" s="46">
        <f t="shared" si="22"/>
        <v>0</v>
      </c>
      <c r="G303" s="46">
        <f t="shared" si="24"/>
        <v>0</v>
      </c>
    </row>
    <row r="304" spans="2:7" x14ac:dyDescent="0.25">
      <c r="B304" s="45">
        <v>293</v>
      </c>
      <c r="C304" s="50">
        <f t="shared" si="20"/>
        <v>0.06</v>
      </c>
      <c r="D304" s="51">
        <f t="shared" si="21"/>
        <v>0</v>
      </c>
      <c r="E304" s="46">
        <f t="shared" si="23"/>
        <v>-1.6298145055770874E-9</v>
      </c>
      <c r="F304" s="46">
        <f t="shared" si="22"/>
        <v>0</v>
      </c>
      <c r="G304" s="46">
        <f t="shared" si="24"/>
        <v>0</v>
      </c>
    </row>
    <row r="305" spans="2:7" x14ac:dyDescent="0.25">
      <c r="B305" s="45">
        <v>294</v>
      </c>
      <c r="C305" s="50">
        <f t="shared" si="20"/>
        <v>0.06</v>
      </c>
      <c r="D305" s="51">
        <f t="shared" si="21"/>
        <v>0</v>
      </c>
      <c r="E305" s="46">
        <f t="shared" si="23"/>
        <v>-1.6298145055770874E-9</v>
      </c>
      <c r="F305" s="46">
        <f t="shared" si="22"/>
        <v>0</v>
      </c>
      <c r="G305" s="46">
        <f t="shared" si="24"/>
        <v>0</v>
      </c>
    </row>
    <row r="306" spans="2:7" x14ac:dyDescent="0.25">
      <c r="B306" s="45">
        <v>295</v>
      </c>
      <c r="C306" s="50">
        <f t="shared" si="20"/>
        <v>0.06</v>
      </c>
      <c r="D306" s="51">
        <f t="shared" si="21"/>
        <v>0</v>
      </c>
      <c r="E306" s="46">
        <f t="shared" si="23"/>
        <v>-1.6298145055770874E-9</v>
      </c>
      <c r="F306" s="46">
        <f t="shared" si="22"/>
        <v>0</v>
      </c>
      <c r="G306" s="46">
        <f t="shared" si="24"/>
        <v>0</v>
      </c>
    </row>
    <row r="307" spans="2:7" x14ac:dyDescent="0.25">
      <c r="B307" s="45">
        <v>296</v>
      </c>
      <c r="C307" s="50">
        <f t="shared" si="20"/>
        <v>0.06</v>
      </c>
      <c r="D307" s="51">
        <f t="shared" si="21"/>
        <v>0</v>
      </c>
      <c r="E307" s="46">
        <f t="shared" si="23"/>
        <v>-1.6298145055770874E-9</v>
      </c>
      <c r="F307" s="46">
        <f t="shared" si="22"/>
        <v>0</v>
      </c>
      <c r="G307" s="46">
        <f t="shared" si="24"/>
        <v>0</v>
      </c>
    </row>
    <row r="308" spans="2:7" x14ac:dyDescent="0.25">
      <c r="B308" s="45">
        <v>297</v>
      </c>
      <c r="C308" s="50">
        <f t="shared" si="20"/>
        <v>0.06</v>
      </c>
      <c r="D308" s="51">
        <f t="shared" si="21"/>
        <v>0</v>
      </c>
      <c r="E308" s="46">
        <f t="shared" si="23"/>
        <v>-1.6298145055770874E-9</v>
      </c>
      <c r="F308" s="46">
        <f t="shared" si="22"/>
        <v>0</v>
      </c>
      <c r="G308" s="46">
        <f t="shared" si="24"/>
        <v>0</v>
      </c>
    </row>
    <row r="309" spans="2:7" x14ac:dyDescent="0.25">
      <c r="B309" s="45">
        <v>298</v>
      </c>
      <c r="C309" s="50">
        <f t="shared" si="20"/>
        <v>0.06</v>
      </c>
      <c r="D309" s="51">
        <f t="shared" si="21"/>
        <v>0</v>
      </c>
      <c r="E309" s="46">
        <f t="shared" si="23"/>
        <v>-1.6298145055770874E-9</v>
      </c>
      <c r="F309" s="46">
        <f t="shared" si="22"/>
        <v>0</v>
      </c>
      <c r="G309" s="46">
        <f t="shared" si="24"/>
        <v>0</v>
      </c>
    </row>
    <row r="310" spans="2:7" x14ac:dyDescent="0.25">
      <c r="B310" s="45">
        <v>299</v>
      </c>
      <c r="C310" s="50">
        <f t="shared" si="20"/>
        <v>0.06</v>
      </c>
      <c r="D310" s="51">
        <f t="shared" si="21"/>
        <v>0</v>
      </c>
      <c r="E310" s="46">
        <f t="shared" si="23"/>
        <v>-1.6298145055770874E-9</v>
      </c>
      <c r="F310" s="46">
        <f t="shared" si="22"/>
        <v>0</v>
      </c>
      <c r="G310" s="46">
        <f t="shared" si="24"/>
        <v>0</v>
      </c>
    </row>
    <row r="311" spans="2:7" x14ac:dyDescent="0.25">
      <c r="B311" s="45">
        <v>300</v>
      </c>
      <c r="C311" s="50">
        <f t="shared" si="20"/>
        <v>0.06</v>
      </c>
      <c r="D311" s="51">
        <f t="shared" si="21"/>
        <v>0</v>
      </c>
      <c r="E311" s="46">
        <f t="shared" si="23"/>
        <v>-1.6298145055770874E-9</v>
      </c>
      <c r="F311" s="46">
        <f t="shared" si="22"/>
        <v>0</v>
      </c>
      <c r="G311" s="46">
        <f t="shared" si="24"/>
        <v>0</v>
      </c>
    </row>
    <row r="312" spans="2:7" x14ac:dyDescent="0.25">
      <c r="B312" s="45">
        <v>301</v>
      </c>
      <c r="C312" s="50">
        <f t="shared" si="20"/>
        <v>0.06</v>
      </c>
      <c r="D312" s="51">
        <f t="shared" si="21"/>
        <v>0</v>
      </c>
      <c r="E312" s="46">
        <f t="shared" si="23"/>
        <v>-1.6298145055770874E-9</v>
      </c>
      <c r="F312" s="46">
        <f t="shared" si="22"/>
        <v>0</v>
      </c>
      <c r="G312" s="46">
        <f t="shared" si="24"/>
        <v>0</v>
      </c>
    </row>
    <row r="313" spans="2:7" x14ac:dyDescent="0.25">
      <c r="B313" s="45">
        <v>302</v>
      </c>
      <c r="C313" s="50">
        <f t="shared" si="20"/>
        <v>0.06</v>
      </c>
      <c r="D313" s="51">
        <f t="shared" si="21"/>
        <v>0</v>
      </c>
      <c r="E313" s="46">
        <f t="shared" si="23"/>
        <v>-1.6298145055770874E-9</v>
      </c>
      <c r="F313" s="46">
        <f t="shared" si="22"/>
        <v>0</v>
      </c>
      <c r="G313" s="46">
        <f t="shared" si="24"/>
        <v>0</v>
      </c>
    </row>
    <row r="314" spans="2:7" x14ac:dyDescent="0.25">
      <c r="B314" s="45">
        <v>303</v>
      </c>
      <c r="C314" s="50">
        <f t="shared" si="20"/>
        <v>0.06</v>
      </c>
      <c r="D314" s="51">
        <f t="shared" si="21"/>
        <v>0</v>
      </c>
      <c r="E314" s="46">
        <f t="shared" si="23"/>
        <v>-1.6298145055770874E-9</v>
      </c>
      <c r="F314" s="46">
        <f t="shared" si="22"/>
        <v>0</v>
      </c>
      <c r="G314" s="46">
        <f t="shared" si="24"/>
        <v>0</v>
      </c>
    </row>
    <row r="315" spans="2:7" x14ac:dyDescent="0.25">
      <c r="B315" s="45">
        <v>304</v>
      </c>
      <c r="C315" s="50">
        <f t="shared" si="20"/>
        <v>0.06</v>
      </c>
      <c r="D315" s="51">
        <f t="shared" si="21"/>
        <v>0</v>
      </c>
      <c r="E315" s="46">
        <f t="shared" si="23"/>
        <v>-1.6298145055770874E-9</v>
      </c>
      <c r="F315" s="46">
        <f t="shared" si="22"/>
        <v>0</v>
      </c>
      <c r="G315" s="46">
        <f t="shared" si="24"/>
        <v>0</v>
      </c>
    </row>
    <row r="316" spans="2:7" x14ac:dyDescent="0.25">
      <c r="B316" s="45">
        <v>305</v>
      </c>
      <c r="C316" s="50">
        <f t="shared" si="20"/>
        <v>0.06</v>
      </c>
      <c r="D316" s="51">
        <f t="shared" si="21"/>
        <v>0</v>
      </c>
      <c r="E316" s="46">
        <f t="shared" si="23"/>
        <v>-1.6298145055770874E-9</v>
      </c>
      <c r="F316" s="46">
        <f t="shared" si="22"/>
        <v>0</v>
      </c>
      <c r="G316" s="46">
        <f t="shared" si="24"/>
        <v>0</v>
      </c>
    </row>
    <row r="317" spans="2:7" x14ac:dyDescent="0.25">
      <c r="B317" s="45">
        <v>306</v>
      </c>
      <c r="C317" s="50">
        <f t="shared" si="20"/>
        <v>0.06</v>
      </c>
      <c r="D317" s="51">
        <f t="shared" si="21"/>
        <v>0</v>
      </c>
      <c r="E317" s="46">
        <f t="shared" si="23"/>
        <v>-1.6298145055770874E-9</v>
      </c>
      <c r="F317" s="46">
        <f t="shared" si="22"/>
        <v>0</v>
      </c>
      <c r="G317" s="46">
        <f t="shared" si="24"/>
        <v>0</v>
      </c>
    </row>
    <row r="318" spans="2:7" x14ac:dyDescent="0.25">
      <c r="B318" s="45">
        <v>307</v>
      </c>
      <c r="C318" s="50">
        <f t="shared" si="20"/>
        <v>0.06</v>
      </c>
      <c r="D318" s="51">
        <f t="shared" si="21"/>
        <v>0</v>
      </c>
      <c r="E318" s="46">
        <f t="shared" si="23"/>
        <v>-1.6298145055770874E-9</v>
      </c>
      <c r="F318" s="46">
        <f t="shared" si="22"/>
        <v>0</v>
      </c>
      <c r="G318" s="46">
        <f t="shared" si="24"/>
        <v>0</v>
      </c>
    </row>
    <row r="319" spans="2:7" x14ac:dyDescent="0.25">
      <c r="B319" s="45">
        <v>308</v>
      </c>
      <c r="C319" s="50">
        <f t="shared" si="20"/>
        <v>0.06</v>
      </c>
      <c r="D319" s="51">
        <f t="shared" si="21"/>
        <v>0</v>
      </c>
      <c r="E319" s="46">
        <f t="shared" si="23"/>
        <v>-1.6298145055770874E-9</v>
      </c>
      <c r="F319" s="46">
        <f t="shared" si="22"/>
        <v>0</v>
      </c>
      <c r="G319" s="46">
        <f t="shared" si="24"/>
        <v>0</v>
      </c>
    </row>
    <row r="320" spans="2:7" x14ac:dyDescent="0.25">
      <c r="B320" s="45">
        <v>309</v>
      </c>
      <c r="C320" s="50">
        <f t="shared" si="20"/>
        <v>0.06</v>
      </c>
      <c r="D320" s="51">
        <f t="shared" si="21"/>
        <v>0</v>
      </c>
      <c r="E320" s="46">
        <f t="shared" si="23"/>
        <v>-1.6298145055770874E-9</v>
      </c>
      <c r="F320" s="46">
        <f t="shared" si="22"/>
        <v>0</v>
      </c>
      <c r="G320" s="46">
        <f t="shared" si="24"/>
        <v>0</v>
      </c>
    </row>
    <row r="321" spans="2:7" x14ac:dyDescent="0.25">
      <c r="B321" s="45">
        <v>310</v>
      </c>
      <c r="C321" s="50">
        <f t="shared" si="20"/>
        <v>0.06</v>
      </c>
      <c r="D321" s="51">
        <f t="shared" si="21"/>
        <v>0</v>
      </c>
      <c r="E321" s="46">
        <f t="shared" si="23"/>
        <v>-1.6298145055770874E-9</v>
      </c>
      <c r="F321" s="46">
        <f t="shared" si="22"/>
        <v>0</v>
      </c>
      <c r="G321" s="46">
        <f t="shared" si="24"/>
        <v>0</v>
      </c>
    </row>
    <row r="322" spans="2:7" x14ac:dyDescent="0.25">
      <c r="B322" s="45">
        <v>311</v>
      </c>
      <c r="C322" s="50">
        <f t="shared" si="20"/>
        <v>0.06</v>
      </c>
      <c r="D322" s="51">
        <f t="shared" si="21"/>
        <v>0</v>
      </c>
      <c r="E322" s="46">
        <f t="shared" si="23"/>
        <v>-1.6298145055770874E-9</v>
      </c>
      <c r="F322" s="46">
        <f t="shared" si="22"/>
        <v>0</v>
      </c>
      <c r="G322" s="46">
        <f t="shared" si="24"/>
        <v>0</v>
      </c>
    </row>
    <row r="323" spans="2:7" x14ac:dyDescent="0.25">
      <c r="B323" s="45">
        <v>312</v>
      </c>
      <c r="C323" s="50">
        <f t="shared" si="20"/>
        <v>0.06</v>
      </c>
      <c r="D323" s="51">
        <f t="shared" si="21"/>
        <v>0</v>
      </c>
      <c r="E323" s="46">
        <f t="shared" si="23"/>
        <v>-1.6298145055770874E-9</v>
      </c>
      <c r="F323" s="46">
        <f t="shared" si="22"/>
        <v>0</v>
      </c>
      <c r="G323" s="46">
        <f t="shared" si="24"/>
        <v>0</v>
      </c>
    </row>
    <row r="324" spans="2:7" x14ac:dyDescent="0.25">
      <c r="B324" s="45">
        <v>313</v>
      </c>
      <c r="C324" s="50">
        <f t="shared" si="20"/>
        <v>0.06</v>
      </c>
      <c r="D324" s="51">
        <f t="shared" si="21"/>
        <v>0</v>
      </c>
      <c r="E324" s="46">
        <f t="shared" si="23"/>
        <v>-1.6298145055770874E-9</v>
      </c>
      <c r="F324" s="46">
        <f t="shared" si="22"/>
        <v>0</v>
      </c>
      <c r="G324" s="46">
        <f t="shared" si="24"/>
        <v>0</v>
      </c>
    </row>
    <row r="325" spans="2:7" x14ac:dyDescent="0.25">
      <c r="B325" s="45">
        <v>314</v>
      </c>
      <c r="C325" s="50">
        <f t="shared" si="20"/>
        <v>0.06</v>
      </c>
      <c r="D325" s="51">
        <f t="shared" si="21"/>
        <v>0</v>
      </c>
      <c r="E325" s="46">
        <f t="shared" si="23"/>
        <v>-1.6298145055770874E-9</v>
      </c>
      <c r="F325" s="46">
        <f t="shared" si="22"/>
        <v>0</v>
      </c>
      <c r="G325" s="46">
        <f t="shared" si="24"/>
        <v>0</v>
      </c>
    </row>
    <row r="326" spans="2:7" x14ac:dyDescent="0.25">
      <c r="B326" s="45">
        <v>315</v>
      </c>
      <c r="C326" s="50">
        <f t="shared" si="20"/>
        <v>0.06</v>
      </c>
      <c r="D326" s="51">
        <f t="shared" si="21"/>
        <v>0</v>
      </c>
      <c r="E326" s="46">
        <f t="shared" si="23"/>
        <v>-1.6298145055770874E-9</v>
      </c>
      <c r="F326" s="46">
        <f t="shared" si="22"/>
        <v>0</v>
      </c>
      <c r="G326" s="46">
        <f t="shared" si="24"/>
        <v>0</v>
      </c>
    </row>
    <row r="327" spans="2:7" x14ac:dyDescent="0.25">
      <c r="B327" s="45">
        <v>316</v>
      </c>
      <c r="C327" s="50">
        <f t="shared" si="20"/>
        <v>0.06</v>
      </c>
      <c r="D327" s="51">
        <f t="shared" si="21"/>
        <v>0</v>
      </c>
      <c r="E327" s="46">
        <f t="shared" si="23"/>
        <v>-1.6298145055770874E-9</v>
      </c>
      <c r="F327" s="46">
        <f t="shared" si="22"/>
        <v>0</v>
      </c>
      <c r="G327" s="46">
        <f t="shared" si="24"/>
        <v>0</v>
      </c>
    </row>
    <row r="328" spans="2:7" x14ac:dyDescent="0.25">
      <c r="B328" s="45">
        <v>317</v>
      </c>
      <c r="C328" s="50">
        <f t="shared" si="20"/>
        <v>0.06</v>
      </c>
      <c r="D328" s="51">
        <f t="shared" si="21"/>
        <v>0</v>
      </c>
      <c r="E328" s="46">
        <f t="shared" si="23"/>
        <v>-1.6298145055770874E-9</v>
      </c>
      <c r="F328" s="46">
        <f t="shared" si="22"/>
        <v>0</v>
      </c>
      <c r="G328" s="46">
        <f t="shared" si="24"/>
        <v>0</v>
      </c>
    </row>
    <row r="329" spans="2:7" x14ac:dyDescent="0.25">
      <c r="B329" s="45">
        <v>318</v>
      </c>
      <c r="C329" s="50">
        <f t="shared" si="20"/>
        <v>0.06</v>
      </c>
      <c r="D329" s="51">
        <f t="shared" si="21"/>
        <v>0</v>
      </c>
      <c r="E329" s="46">
        <f t="shared" si="23"/>
        <v>-1.6298145055770874E-9</v>
      </c>
      <c r="F329" s="46">
        <f t="shared" si="22"/>
        <v>0</v>
      </c>
      <c r="G329" s="46">
        <f t="shared" si="24"/>
        <v>0</v>
      </c>
    </row>
    <row r="330" spans="2:7" x14ac:dyDescent="0.25">
      <c r="B330" s="45">
        <v>319</v>
      </c>
      <c r="C330" s="50">
        <f t="shared" si="20"/>
        <v>0.06</v>
      </c>
      <c r="D330" s="51">
        <f t="shared" si="21"/>
        <v>0</v>
      </c>
      <c r="E330" s="46">
        <f t="shared" si="23"/>
        <v>-1.6298145055770874E-9</v>
      </c>
      <c r="F330" s="46">
        <f t="shared" si="22"/>
        <v>0</v>
      </c>
      <c r="G330" s="46">
        <f t="shared" si="24"/>
        <v>0</v>
      </c>
    </row>
    <row r="331" spans="2:7" x14ac:dyDescent="0.25">
      <c r="B331" s="45">
        <v>320</v>
      </c>
      <c r="C331" s="50">
        <f t="shared" si="20"/>
        <v>0.06</v>
      </c>
      <c r="D331" s="51">
        <f t="shared" si="21"/>
        <v>0</v>
      </c>
      <c r="E331" s="46">
        <f t="shared" si="23"/>
        <v>-1.6298145055770874E-9</v>
      </c>
      <c r="F331" s="46">
        <f t="shared" si="22"/>
        <v>0</v>
      </c>
      <c r="G331" s="46">
        <f t="shared" si="24"/>
        <v>0</v>
      </c>
    </row>
    <row r="332" spans="2:7" x14ac:dyDescent="0.25">
      <c r="B332" s="45">
        <v>321</v>
      </c>
      <c r="C332" s="50">
        <f t="shared" ref="C332:C372" si="25">IF(B332&gt;$C$6,$C$4,$C$3)</f>
        <v>0.06</v>
      </c>
      <c r="D332" s="51">
        <f t="shared" si="21"/>
        <v>0</v>
      </c>
      <c r="E332" s="46">
        <f t="shared" si="23"/>
        <v>-1.6298145055770874E-9</v>
      </c>
      <c r="F332" s="46">
        <f t="shared" si="22"/>
        <v>0</v>
      </c>
      <c r="G332" s="46">
        <f t="shared" si="24"/>
        <v>0</v>
      </c>
    </row>
    <row r="333" spans="2:7" x14ac:dyDescent="0.25">
      <c r="B333" s="45">
        <v>322</v>
      </c>
      <c r="C333" s="50">
        <f t="shared" si="25"/>
        <v>0.06</v>
      </c>
      <c r="D333" s="51">
        <f t="shared" ref="D333:D372" si="26">IF(B333&gt;$C$5,0,E332*(C333/12/(1-(1+C333/12)^(-($C$5-B332)))))</f>
        <v>0</v>
      </c>
      <c r="E333" s="46">
        <f t="shared" si="23"/>
        <v>-1.6298145055770874E-9</v>
      </c>
      <c r="F333" s="46">
        <f t="shared" ref="F333:F372" si="27">IF(B333&gt;$C$5,0,E332*C333/12)</f>
        <v>0</v>
      </c>
      <c r="G333" s="46">
        <f t="shared" si="24"/>
        <v>0</v>
      </c>
    </row>
    <row r="334" spans="2:7" x14ac:dyDescent="0.25">
      <c r="B334" s="45">
        <v>323</v>
      </c>
      <c r="C334" s="50">
        <f t="shared" si="25"/>
        <v>0.06</v>
      </c>
      <c r="D334" s="51">
        <f t="shared" si="26"/>
        <v>0</v>
      </c>
      <c r="E334" s="46">
        <f t="shared" ref="E334:E372" si="28">E333-G334</f>
        <v>-1.6298145055770874E-9</v>
      </c>
      <c r="F334" s="46">
        <f t="shared" si="27"/>
        <v>0</v>
      </c>
      <c r="G334" s="46">
        <f t="shared" ref="G334:G372" si="29">D334-F334</f>
        <v>0</v>
      </c>
    </row>
    <row r="335" spans="2:7" x14ac:dyDescent="0.25">
      <c r="B335" s="45">
        <v>324</v>
      </c>
      <c r="C335" s="50">
        <f t="shared" si="25"/>
        <v>0.06</v>
      </c>
      <c r="D335" s="51">
        <f t="shared" si="26"/>
        <v>0</v>
      </c>
      <c r="E335" s="46">
        <f t="shared" si="28"/>
        <v>-1.6298145055770874E-9</v>
      </c>
      <c r="F335" s="46">
        <f t="shared" si="27"/>
        <v>0</v>
      </c>
      <c r="G335" s="46">
        <f t="shared" si="29"/>
        <v>0</v>
      </c>
    </row>
    <row r="336" spans="2:7" x14ac:dyDescent="0.25">
      <c r="B336" s="45">
        <v>325</v>
      </c>
      <c r="C336" s="50">
        <f t="shared" si="25"/>
        <v>0.06</v>
      </c>
      <c r="D336" s="51">
        <f t="shared" si="26"/>
        <v>0</v>
      </c>
      <c r="E336" s="46">
        <f t="shared" si="28"/>
        <v>-1.6298145055770874E-9</v>
      </c>
      <c r="F336" s="46">
        <f t="shared" si="27"/>
        <v>0</v>
      </c>
      <c r="G336" s="46">
        <f t="shared" si="29"/>
        <v>0</v>
      </c>
    </row>
    <row r="337" spans="2:7" x14ac:dyDescent="0.25">
      <c r="B337" s="45">
        <v>326</v>
      </c>
      <c r="C337" s="50">
        <f t="shared" si="25"/>
        <v>0.06</v>
      </c>
      <c r="D337" s="51">
        <f t="shared" si="26"/>
        <v>0</v>
      </c>
      <c r="E337" s="46">
        <f t="shared" si="28"/>
        <v>-1.6298145055770874E-9</v>
      </c>
      <c r="F337" s="46">
        <f t="shared" si="27"/>
        <v>0</v>
      </c>
      <c r="G337" s="46">
        <f t="shared" si="29"/>
        <v>0</v>
      </c>
    </row>
    <row r="338" spans="2:7" x14ac:dyDescent="0.25">
      <c r="B338" s="45">
        <v>327</v>
      </c>
      <c r="C338" s="50">
        <f t="shared" si="25"/>
        <v>0.06</v>
      </c>
      <c r="D338" s="51">
        <f t="shared" si="26"/>
        <v>0</v>
      </c>
      <c r="E338" s="46">
        <f t="shared" si="28"/>
        <v>-1.6298145055770874E-9</v>
      </c>
      <c r="F338" s="46">
        <f t="shared" si="27"/>
        <v>0</v>
      </c>
      <c r="G338" s="46">
        <f t="shared" si="29"/>
        <v>0</v>
      </c>
    </row>
    <row r="339" spans="2:7" x14ac:dyDescent="0.25">
      <c r="B339" s="45">
        <v>328</v>
      </c>
      <c r="C339" s="50">
        <f t="shared" si="25"/>
        <v>0.06</v>
      </c>
      <c r="D339" s="51">
        <f t="shared" si="26"/>
        <v>0</v>
      </c>
      <c r="E339" s="46">
        <f t="shared" si="28"/>
        <v>-1.6298145055770874E-9</v>
      </c>
      <c r="F339" s="46">
        <f t="shared" si="27"/>
        <v>0</v>
      </c>
      <c r="G339" s="46">
        <f t="shared" si="29"/>
        <v>0</v>
      </c>
    </row>
    <row r="340" spans="2:7" x14ac:dyDescent="0.25">
      <c r="B340" s="45">
        <v>329</v>
      </c>
      <c r="C340" s="50">
        <f t="shared" si="25"/>
        <v>0.06</v>
      </c>
      <c r="D340" s="51">
        <f t="shared" si="26"/>
        <v>0</v>
      </c>
      <c r="E340" s="46">
        <f t="shared" si="28"/>
        <v>-1.6298145055770874E-9</v>
      </c>
      <c r="F340" s="46">
        <f t="shared" si="27"/>
        <v>0</v>
      </c>
      <c r="G340" s="46">
        <f t="shared" si="29"/>
        <v>0</v>
      </c>
    </row>
    <row r="341" spans="2:7" x14ac:dyDescent="0.25">
      <c r="B341" s="45">
        <v>330</v>
      </c>
      <c r="C341" s="50">
        <f t="shared" si="25"/>
        <v>0.06</v>
      </c>
      <c r="D341" s="51">
        <f t="shared" si="26"/>
        <v>0</v>
      </c>
      <c r="E341" s="46">
        <f t="shared" si="28"/>
        <v>-1.6298145055770874E-9</v>
      </c>
      <c r="F341" s="46">
        <f t="shared" si="27"/>
        <v>0</v>
      </c>
      <c r="G341" s="46">
        <f t="shared" si="29"/>
        <v>0</v>
      </c>
    </row>
    <row r="342" spans="2:7" x14ac:dyDescent="0.25">
      <c r="B342" s="45">
        <v>331</v>
      </c>
      <c r="C342" s="50">
        <f t="shared" si="25"/>
        <v>0.06</v>
      </c>
      <c r="D342" s="51">
        <f t="shared" si="26"/>
        <v>0</v>
      </c>
      <c r="E342" s="46">
        <f t="shared" si="28"/>
        <v>-1.6298145055770874E-9</v>
      </c>
      <c r="F342" s="46">
        <f t="shared" si="27"/>
        <v>0</v>
      </c>
      <c r="G342" s="46">
        <f t="shared" si="29"/>
        <v>0</v>
      </c>
    </row>
    <row r="343" spans="2:7" x14ac:dyDescent="0.25">
      <c r="B343" s="45">
        <v>332</v>
      </c>
      <c r="C343" s="50">
        <f t="shared" si="25"/>
        <v>0.06</v>
      </c>
      <c r="D343" s="51">
        <f t="shared" si="26"/>
        <v>0</v>
      </c>
      <c r="E343" s="46">
        <f t="shared" si="28"/>
        <v>-1.6298145055770874E-9</v>
      </c>
      <c r="F343" s="46">
        <f t="shared" si="27"/>
        <v>0</v>
      </c>
      <c r="G343" s="46">
        <f t="shared" si="29"/>
        <v>0</v>
      </c>
    </row>
    <row r="344" spans="2:7" x14ac:dyDescent="0.25">
      <c r="B344" s="45">
        <v>333</v>
      </c>
      <c r="C344" s="50">
        <f t="shared" si="25"/>
        <v>0.06</v>
      </c>
      <c r="D344" s="51">
        <f t="shared" si="26"/>
        <v>0</v>
      </c>
      <c r="E344" s="46">
        <f t="shared" si="28"/>
        <v>-1.6298145055770874E-9</v>
      </c>
      <c r="F344" s="46">
        <f t="shared" si="27"/>
        <v>0</v>
      </c>
      <c r="G344" s="46">
        <f t="shared" si="29"/>
        <v>0</v>
      </c>
    </row>
    <row r="345" spans="2:7" x14ac:dyDescent="0.25">
      <c r="B345" s="45">
        <v>334</v>
      </c>
      <c r="C345" s="50">
        <f t="shared" si="25"/>
        <v>0.06</v>
      </c>
      <c r="D345" s="51">
        <f t="shared" si="26"/>
        <v>0</v>
      </c>
      <c r="E345" s="46">
        <f t="shared" si="28"/>
        <v>-1.6298145055770874E-9</v>
      </c>
      <c r="F345" s="46">
        <f t="shared" si="27"/>
        <v>0</v>
      </c>
      <c r="G345" s="46">
        <f t="shared" si="29"/>
        <v>0</v>
      </c>
    </row>
    <row r="346" spans="2:7" x14ac:dyDescent="0.25">
      <c r="B346" s="45">
        <v>335</v>
      </c>
      <c r="C346" s="50">
        <f t="shared" si="25"/>
        <v>0.06</v>
      </c>
      <c r="D346" s="51">
        <f t="shared" si="26"/>
        <v>0</v>
      </c>
      <c r="E346" s="46">
        <f t="shared" si="28"/>
        <v>-1.6298145055770874E-9</v>
      </c>
      <c r="F346" s="46">
        <f t="shared" si="27"/>
        <v>0</v>
      </c>
      <c r="G346" s="46">
        <f t="shared" si="29"/>
        <v>0</v>
      </c>
    </row>
    <row r="347" spans="2:7" x14ac:dyDescent="0.25">
      <c r="B347" s="45">
        <v>336</v>
      </c>
      <c r="C347" s="50">
        <f t="shared" si="25"/>
        <v>0.06</v>
      </c>
      <c r="D347" s="51">
        <f t="shared" si="26"/>
        <v>0</v>
      </c>
      <c r="E347" s="46">
        <f t="shared" si="28"/>
        <v>-1.6298145055770874E-9</v>
      </c>
      <c r="F347" s="46">
        <f t="shared" si="27"/>
        <v>0</v>
      </c>
      <c r="G347" s="46">
        <f t="shared" si="29"/>
        <v>0</v>
      </c>
    </row>
    <row r="348" spans="2:7" x14ac:dyDescent="0.25">
      <c r="B348" s="45">
        <v>337</v>
      </c>
      <c r="C348" s="50">
        <f t="shared" si="25"/>
        <v>0.06</v>
      </c>
      <c r="D348" s="51">
        <f t="shared" si="26"/>
        <v>0</v>
      </c>
      <c r="E348" s="46">
        <f t="shared" si="28"/>
        <v>-1.6298145055770874E-9</v>
      </c>
      <c r="F348" s="46">
        <f t="shared" si="27"/>
        <v>0</v>
      </c>
      <c r="G348" s="46">
        <f t="shared" si="29"/>
        <v>0</v>
      </c>
    </row>
    <row r="349" spans="2:7" x14ac:dyDescent="0.25">
      <c r="B349" s="45">
        <v>338</v>
      </c>
      <c r="C349" s="50">
        <f t="shared" si="25"/>
        <v>0.06</v>
      </c>
      <c r="D349" s="51">
        <f t="shared" si="26"/>
        <v>0</v>
      </c>
      <c r="E349" s="46">
        <f t="shared" si="28"/>
        <v>-1.6298145055770874E-9</v>
      </c>
      <c r="F349" s="46">
        <f t="shared" si="27"/>
        <v>0</v>
      </c>
      <c r="G349" s="46">
        <f t="shared" si="29"/>
        <v>0</v>
      </c>
    </row>
    <row r="350" spans="2:7" x14ac:dyDescent="0.25">
      <c r="B350" s="45">
        <v>339</v>
      </c>
      <c r="C350" s="50">
        <f t="shared" si="25"/>
        <v>0.06</v>
      </c>
      <c r="D350" s="51">
        <f t="shared" si="26"/>
        <v>0</v>
      </c>
      <c r="E350" s="46">
        <f t="shared" si="28"/>
        <v>-1.6298145055770874E-9</v>
      </c>
      <c r="F350" s="46">
        <f t="shared" si="27"/>
        <v>0</v>
      </c>
      <c r="G350" s="46">
        <f t="shared" si="29"/>
        <v>0</v>
      </c>
    </row>
    <row r="351" spans="2:7" x14ac:dyDescent="0.25">
      <c r="B351" s="45">
        <v>340</v>
      </c>
      <c r="C351" s="50">
        <f t="shared" si="25"/>
        <v>0.06</v>
      </c>
      <c r="D351" s="51">
        <f t="shared" si="26"/>
        <v>0</v>
      </c>
      <c r="E351" s="46">
        <f t="shared" si="28"/>
        <v>-1.6298145055770874E-9</v>
      </c>
      <c r="F351" s="46">
        <f t="shared" si="27"/>
        <v>0</v>
      </c>
      <c r="G351" s="46">
        <f t="shared" si="29"/>
        <v>0</v>
      </c>
    </row>
    <row r="352" spans="2:7" x14ac:dyDescent="0.25">
      <c r="B352" s="45">
        <v>341</v>
      </c>
      <c r="C352" s="50">
        <f t="shared" si="25"/>
        <v>0.06</v>
      </c>
      <c r="D352" s="51">
        <f t="shared" si="26"/>
        <v>0</v>
      </c>
      <c r="E352" s="46">
        <f t="shared" si="28"/>
        <v>-1.6298145055770874E-9</v>
      </c>
      <c r="F352" s="46">
        <f t="shared" si="27"/>
        <v>0</v>
      </c>
      <c r="G352" s="46">
        <f t="shared" si="29"/>
        <v>0</v>
      </c>
    </row>
    <row r="353" spans="2:7" x14ac:dyDescent="0.25">
      <c r="B353" s="45">
        <v>342</v>
      </c>
      <c r="C353" s="50">
        <f t="shared" si="25"/>
        <v>0.06</v>
      </c>
      <c r="D353" s="51">
        <f t="shared" si="26"/>
        <v>0</v>
      </c>
      <c r="E353" s="46">
        <f t="shared" si="28"/>
        <v>-1.6298145055770874E-9</v>
      </c>
      <c r="F353" s="46">
        <f t="shared" si="27"/>
        <v>0</v>
      </c>
      <c r="G353" s="46">
        <f t="shared" si="29"/>
        <v>0</v>
      </c>
    </row>
    <row r="354" spans="2:7" x14ac:dyDescent="0.25">
      <c r="B354" s="45">
        <v>343</v>
      </c>
      <c r="C354" s="50">
        <f t="shared" si="25"/>
        <v>0.06</v>
      </c>
      <c r="D354" s="51">
        <f t="shared" si="26"/>
        <v>0</v>
      </c>
      <c r="E354" s="46">
        <f t="shared" si="28"/>
        <v>-1.6298145055770874E-9</v>
      </c>
      <c r="F354" s="46">
        <f t="shared" si="27"/>
        <v>0</v>
      </c>
      <c r="G354" s="46">
        <f t="shared" si="29"/>
        <v>0</v>
      </c>
    </row>
    <row r="355" spans="2:7" x14ac:dyDescent="0.25">
      <c r="B355" s="45">
        <v>344</v>
      </c>
      <c r="C355" s="50">
        <f t="shared" si="25"/>
        <v>0.06</v>
      </c>
      <c r="D355" s="51">
        <f t="shared" si="26"/>
        <v>0</v>
      </c>
      <c r="E355" s="46">
        <f t="shared" si="28"/>
        <v>-1.6298145055770874E-9</v>
      </c>
      <c r="F355" s="46">
        <f t="shared" si="27"/>
        <v>0</v>
      </c>
      <c r="G355" s="46">
        <f t="shared" si="29"/>
        <v>0</v>
      </c>
    </row>
    <row r="356" spans="2:7" x14ac:dyDescent="0.25">
      <c r="B356" s="45">
        <v>345</v>
      </c>
      <c r="C356" s="50">
        <f t="shared" si="25"/>
        <v>0.06</v>
      </c>
      <c r="D356" s="51">
        <f t="shared" si="26"/>
        <v>0</v>
      </c>
      <c r="E356" s="46">
        <f t="shared" si="28"/>
        <v>-1.6298145055770874E-9</v>
      </c>
      <c r="F356" s="46">
        <f t="shared" si="27"/>
        <v>0</v>
      </c>
      <c r="G356" s="46">
        <f t="shared" si="29"/>
        <v>0</v>
      </c>
    </row>
    <row r="357" spans="2:7" x14ac:dyDescent="0.25">
      <c r="B357" s="45">
        <v>346</v>
      </c>
      <c r="C357" s="50">
        <f t="shared" si="25"/>
        <v>0.06</v>
      </c>
      <c r="D357" s="51">
        <f t="shared" si="26"/>
        <v>0</v>
      </c>
      <c r="E357" s="46">
        <f t="shared" si="28"/>
        <v>-1.6298145055770874E-9</v>
      </c>
      <c r="F357" s="46">
        <f t="shared" si="27"/>
        <v>0</v>
      </c>
      <c r="G357" s="46">
        <f t="shared" si="29"/>
        <v>0</v>
      </c>
    </row>
    <row r="358" spans="2:7" x14ac:dyDescent="0.25">
      <c r="B358" s="45">
        <v>347</v>
      </c>
      <c r="C358" s="50">
        <f t="shared" si="25"/>
        <v>0.06</v>
      </c>
      <c r="D358" s="51">
        <f t="shared" si="26"/>
        <v>0</v>
      </c>
      <c r="E358" s="46">
        <f t="shared" si="28"/>
        <v>-1.6298145055770874E-9</v>
      </c>
      <c r="F358" s="46">
        <f t="shared" si="27"/>
        <v>0</v>
      </c>
      <c r="G358" s="46">
        <f t="shared" si="29"/>
        <v>0</v>
      </c>
    </row>
    <row r="359" spans="2:7" x14ac:dyDescent="0.25">
      <c r="B359" s="45">
        <v>348</v>
      </c>
      <c r="C359" s="50">
        <f t="shared" si="25"/>
        <v>0.06</v>
      </c>
      <c r="D359" s="51">
        <f t="shared" si="26"/>
        <v>0</v>
      </c>
      <c r="E359" s="46">
        <f t="shared" si="28"/>
        <v>-1.6298145055770874E-9</v>
      </c>
      <c r="F359" s="46">
        <f t="shared" si="27"/>
        <v>0</v>
      </c>
      <c r="G359" s="46">
        <f t="shared" si="29"/>
        <v>0</v>
      </c>
    </row>
    <row r="360" spans="2:7" x14ac:dyDescent="0.25">
      <c r="B360" s="45">
        <v>349</v>
      </c>
      <c r="C360" s="50">
        <f t="shared" si="25"/>
        <v>0.06</v>
      </c>
      <c r="D360" s="51">
        <f t="shared" si="26"/>
        <v>0</v>
      </c>
      <c r="E360" s="46">
        <f t="shared" si="28"/>
        <v>-1.6298145055770874E-9</v>
      </c>
      <c r="F360" s="46">
        <f t="shared" si="27"/>
        <v>0</v>
      </c>
      <c r="G360" s="46">
        <f t="shared" si="29"/>
        <v>0</v>
      </c>
    </row>
    <row r="361" spans="2:7" x14ac:dyDescent="0.25">
      <c r="B361" s="45">
        <v>350</v>
      </c>
      <c r="C361" s="50">
        <f t="shared" si="25"/>
        <v>0.06</v>
      </c>
      <c r="D361" s="51">
        <f t="shared" si="26"/>
        <v>0</v>
      </c>
      <c r="E361" s="46">
        <f t="shared" si="28"/>
        <v>-1.6298145055770874E-9</v>
      </c>
      <c r="F361" s="46">
        <f t="shared" si="27"/>
        <v>0</v>
      </c>
      <c r="G361" s="46">
        <f t="shared" si="29"/>
        <v>0</v>
      </c>
    </row>
    <row r="362" spans="2:7" x14ac:dyDescent="0.25">
      <c r="B362" s="45">
        <v>351</v>
      </c>
      <c r="C362" s="50">
        <f t="shared" si="25"/>
        <v>0.06</v>
      </c>
      <c r="D362" s="51">
        <f t="shared" si="26"/>
        <v>0</v>
      </c>
      <c r="E362" s="46">
        <f t="shared" si="28"/>
        <v>-1.6298145055770874E-9</v>
      </c>
      <c r="F362" s="46">
        <f t="shared" si="27"/>
        <v>0</v>
      </c>
      <c r="G362" s="46">
        <f t="shared" si="29"/>
        <v>0</v>
      </c>
    </row>
    <row r="363" spans="2:7" x14ac:dyDescent="0.25">
      <c r="B363" s="45">
        <v>352</v>
      </c>
      <c r="C363" s="50">
        <f t="shared" si="25"/>
        <v>0.06</v>
      </c>
      <c r="D363" s="51">
        <f t="shared" si="26"/>
        <v>0</v>
      </c>
      <c r="E363" s="46">
        <f t="shared" si="28"/>
        <v>-1.6298145055770874E-9</v>
      </c>
      <c r="F363" s="46">
        <f t="shared" si="27"/>
        <v>0</v>
      </c>
      <c r="G363" s="46">
        <f t="shared" si="29"/>
        <v>0</v>
      </c>
    </row>
    <row r="364" spans="2:7" x14ac:dyDescent="0.25">
      <c r="B364" s="45">
        <v>353</v>
      </c>
      <c r="C364" s="50">
        <f t="shared" si="25"/>
        <v>0.06</v>
      </c>
      <c r="D364" s="51">
        <f t="shared" si="26"/>
        <v>0</v>
      </c>
      <c r="E364" s="46">
        <f t="shared" si="28"/>
        <v>-1.6298145055770874E-9</v>
      </c>
      <c r="F364" s="46">
        <f t="shared" si="27"/>
        <v>0</v>
      </c>
      <c r="G364" s="46">
        <f t="shared" si="29"/>
        <v>0</v>
      </c>
    </row>
    <row r="365" spans="2:7" x14ac:dyDescent="0.25">
      <c r="B365" s="45">
        <v>354</v>
      </c>
      <c r="C365" s="50">
        <f t="shared" si="25"/>
        <v>0.06</v>
      </c>
      <c r="D365" s="51">
        <f t="shared" si="26"/>
        <v>0</v>
      </c>
      <c r="E365" s="46">
        <f t="shared" si="28"/>
        <v>-1.6298145055770874E-9</v>
      </c>
      <c r="F365" s="46">
        <f t="shared" si="27"/>
        <v>0</v>
      </c>
      <c r="G365" s="46">
        <f t="shared" si="29"/>
        <v>0</v>
      </c>
    </row>
    <row r="366" spans="2:7" x14ac:dyDescent="0.25">
      <c r="B366" s="45">
        <v>355</v>
      </c>
      <c r="C366" s="50">
        <f t="shared" si="25"/>
        <v>0.06</v>
      </c>
      <c r="D366" s="51">
        <f t="shared" si="26"/>
        <v>0</v>
      </c>
      <c r="E366" s="46">
        <f t="shared" si="28"/>
        <v>-1.6298145055770874E-9</v>
      </c>
      <c r="F366" s="46">
        <f t="shared" si="27"/>
        <v>0</v>
      </c>
      <c r="G366" s="46">
        <f t="shared" si="29"/>
        <v>0</v>
      </c>
    </row>
    <row r="367" spans="2:7" x14ac:dyDescent="0.25">
      <c r="B367" s="45">
        <v>356</v>
      </c>
      <c r="C367" s="50">
        <f t="shared" si="25"/>
        <v>0.06</v>
      </c>
      <c r="D367" s="51">
        <f t="shared" si="26"/>
        <v>0</v>
      </c>
      <c r="E367" s="46">
        <f t="shared" si="28"/>
        <v>-1.6298145055770874E-9</v>
      </c>
      <c r="F367" s="46">
        <f t="shared" si="27"/>
        <v>0</v>
      </c>
      <c r="G367" s="46">
        <f t="shared" si="29"/>
        <v>0</v>
      </c>
    </row>
    <row r="368" spans="2:7" x14ac:dyDescent="0.25">
      <c r="B368" s="45">
        <v>357</v>
      </c>
      <c r="C368" s="50">
        <f t="shared" si="25"/>
        <v>0.06</v>
      </c>
      <c r="D368" s="51">
        <f t="shared" si="26"/>
        <v>0</v>
      </c>
      <c r="E368" s="46">
        <f t="shared" si="28"/>
        <v>-1.6298145055770874E-9</v>
      </c>
      <c r="F368" s="46">
        <f t="shared" si="27"/>
        <v>0</v>
      </c>
      <c r="G368" s="46">
        <f t="shared" si="29"/>
        <v>0</v>
      </c>
    </row>
    <row r="369" spans="2:7" x14ac:dyDescent="0.25">
      <c r="B369" s="45">
        <v>358</v>
      </c>
      <c r="C369" s="50">
        <f t="shared" si="25"/>
        <v>0.06</v>
      </c>
      <c r="D369" s="51">
        <f t="shared" si="26"/>
        <v>0</v>
      </c>
      <c r="E369" s="46">
        <f t="shared" si="28"/>
        <v>-1.6298145055770874E-9</v>
      </c>
      <c r="F369" s="46">
        <f t="shared" si="27"/>
        <v>0</v>
      </c>
      <c r="G369" s="46">
        <f t="shared" si="29"/>
        <v>0</v>
      </c>
    </row>
    <row r="370" spans="2:7" x14ac:dyDescent="0.25">
      <c r="B370" s="45">
        <v>359</v>
      </c>
      <c r="C370" s="50">
        <f t="shared" si="25"/>
        <v>0.06</v>
      </c>
      <c r="D370" s="51">
        <f t="shared" si="26"/>
        <v>0</v>
      </c>
      <c r="E370" s="46">
        <f t="shared" si="28"/>
        <v>-1.6298145055770874E-9</v>
      </c>
      <c r="F370" s="46">
        <f t="shared" si="27"/>
        <v>0</v>
      </c>
      <c r="G370" s="46">
        <f t="shared" si="29"/>
        <v>0</v>
      </c>
    </row>
    <row r="371" spans="2:7" x14ac:dyDescent="0.25">
      <c r="B371" s="45">
        <v>360</v>
      </c>
      <c r="C371" s="50">
        <f t="shared" si="25"/>
        <v>0.06</v>
      </c>
      <c r="D371" s="51">
        <f t="shared" si="26"/>
        <v>0</v>
      </c>
      <c r="E371" s="46">
        <f t="shared" si="28"/>
        <v>-1.6298145055770874E-9</v>
      </c>
      <c r="F371" s="46">
        <f t="shared" si="27"/>
        <v>0</v>
      </c>
      <c r="G371" s="46">
        <f t="shared" si="29"/>
        <v>0</v>
      </c>
    </row>
    <row r="372" spans="2:7" x14ac:dyDescent="0.25">
      <c r="B372" s="45">
        <v>361</v>
      </c>
      <c r="C372" s="50">
        <f t="shared" si="25"/>
        <v>0.06</v>
      </c>
      <c r="D372" s="51">
        <f t="shared" si="26"/>
        <v>0</v>
      </c>
      <c r="E372" s="46">
        <f t="shared" si="28"/>
        <v>-1.6298145055770874E-9</v>
      </c>
      <c r="F372" s="46">
        <f t="shared" si="27"/>
        <v>0</v>
      </c>
      <c r="G372" s="46">
        <f t="shared" si="29"/>
        <v>0</v>
      </c>
    </row>
    <row r="373" spans="2:7" x14ac:dyDescent="0.25">
      <c r="C373" s="50"/>
    </row>
    <row r="374" spans="2:7" x14ac:dyDescent="0.25">
      <c r="C374" s="50"/>
    </row>
    <row r="375" spans="2:7" x14ac:dyDescent="0.25">
      <c r="C375" s="50"/>
    </row>
    <row r="376" spans="2:7" x14ac:dyDescent="0.25">
      <c r="C376" s="50"/>
    </row>
    <row r="377" spans="2:7" x14ac:dyDescent="0.25">
      <c r="C377" s="50"/>
    </row>
    <row r="378" spans="2:7" x14ac:dyDescent="0.25">
      <c r="C378" s="50"/>
    </row>
    <row r="379" spans="2:7" x14ac:dyDescent="0.25">
      <c r="C379" s="50"/>
    </row>
    <row r="380" spans="2:7" x14ac:dyDescent="0.25">
      <c r="C380" s="50"/>
    </row>
    <row r="381" spans="2:7" x14ac:dyDescent="0.25">
      <c r="C381" s="50"/>
    </row>
    <row r="382" spans="2:7" x14ac:dyDescent="0.25">
      <c r="C382" s="50"/>
    </row>
    <row r="383" spans="2:7" x14ac:dyDescent="0.25">
      <c r="C383" s="50"/>
    </row>
    <row r="384" spans="2:7" x14ac:dyDescent="0.25">
      <c r="C384" s="50"/>
    </row>
    <row r="385" spans="3:3" x14ac:dyDescent="0.25">
      <c r="C385" s="50"/>
    </row>
    <row r="386" spans="3:3" x14ac:dyDescent="0.25">
      <c r="C386" s="50"/>
    </row>
    <row r="387" spans="3:3" x14ac:dyDescent="0.25">
      <c r="C387" s="50"/>
    </row>
    <row r="388" spans="3:3" x14ac:dyDescent="0.25">
      <c r="C388" s="50"/>
    </row>
    <row r="389" spans="3:3" x14ac:dyDescent="0.25">
      <c r="C389" s="50"/>
    </row>
    <row r="390" spans="3:3" x14ac:dyDescent="0.25">
      <c r="C390" s="50"/>
    </row>
    <row r="391" spans="3:3" x14ac:dyDescent="0.25">
      <c r="C391" s="50"/>
    </row>
    <row r="392" spans="3:3" x14ac:dyDescent="0.25">
      <c r="C392" s="50"/>
    </row>
    <row r="393" spans="3:3" x14ac:dyDescent="0.25">
      <c r="C393" s="50"/>
    </row>
    <row r="394" spans="3:3" x14ac:dyDescent="0.25">
      <c r="C394" s="50"/>
    </row>
    <row r="395" spans="3:3" x14ac:dyDescent="0.25">
      <c r="C395" s="50"/>
    </row>
    <row r="396" spans="3:3" x14ac:dyDescent="0.25">
      <c r="C396" s="50"/>
    </row>
    <row r="397" spans="3:3" x14ac:dyDescent="0.25">
      <c r="C397" s="50"/>
    </row>
    <row r="398" spans="3:3" x14ac:dyDescent="0.25">
      <c r="C398" s="50"/>
    </row>
    <row r="399" spans="3:3" x14ac:dyDescent="0.25">
      <c r="C399" s="50"/>
    </row>
    <row r="400" spans="3:3" x14ac:dyDescent="0.25">
      <c r="C400" s="50"/>
    </row>
    <row r="401" spans="3:3" x14ac:dyDescent="0.25">
      <c r="C401" s="50"/>
    </row>
    <row r="402" spans="3:3" x14ac:dyDescent="0.25">
      <c r="C402" s="50"/>
    </row>
    <row r="403" spans="3:3" x14ac:dyDescent="0.25">
      <c r="C403" s="50"/>
    </row>
    <row r="404" spans="3:3" x14ac:dyDescent="0.25">
      <c r="C404" s="50"/>
    </row>
    <row r="405" spans="3:3" x14ac:dyDescent="0.25">
      <c r="C405" s="50"/>
    </row>
    <row r="406" spans="3:3" x14ac:dyDescent="0.25">
      <c r="C406" s="50"/>
    </row>
    <row r="407" spans="3:3" x14ac:dyDescent="0.25">
      <c r="C407" s="50"/>
    </row>
    <row r="408" spans="3:3" x14ac:dyDescent="0.25">
      <c r="C408" s="50"/>
    </row>
    <row r="409" spans="3:3" x14ac:dyDescent="0.25">
      <c r="C409" s="50"/>
    </row>
    <row r="410" spans="3:3" x14ac:dyDescent="0.25">
      <c r="C410" s="50"/>
    </row>
    <row r="411" spans="3:3" x14ac:dyDescent="0.25">
      <c r="C411" s="50"/>
    </row>
    <row r="412" spans="3:3" x14ac:dyDescent="0.25">
      <c r="C412" s="50"/>
    </row>
    <row r="413" spans="3:3" x14ac:dyDescent="0.25">
      <c r="C413" s="50"/>
    </row>
    <row r="414" spans="3:3" x14ac:dyDescent="0.25">
      <c r="C414" s="50"/>
    </row>
    <row r="415" spans="3:3" x14ac:dyDescent="0.25">
      <c r="C415" s="50"/>
    </row>
    <row r="416" spans="3:3" x14ac:dyDescent="0.25">
      <c r="C416" s="50"/>
    </row>
    <row r="417" spans="3:3" x14ac:dyDescent="0.25">
      <c r="C417" s="50"/>
    </row>
    <row r="418" spans="3:3" x14ac:dyDescent="0.25">
      <c r="C418" s="50"/>
    </row>
    <row r="419" spans="3:3" x14ac:dyDescent="0.25">
      <c r="C419" s="50"/>
    </row>
    <row r="420" spans="3:3" x14ac:dyDescent="0.25">
      <c r="C420" s="50"/>
    </row>
    <row r="421" spans="3:3" x14ac:dyDescent="0.25">
      <c r="C421" s="50"/>
    </row>
    <row r="422" spans="3:3" x14ac:dyDescent="0.25">
      <c r="C422" s="50"/>
    </row>
    <row r="423" spans="3:3" x14ac:dyDescent="0.25">
      <c r="C423" s="50"/>
    </row>
    <row r="424" spans="3:3" x14ac:dyDescent="0.25">
      <c r="C424" s="50"/>
    </row>
    <row r="425" spans="3:3" x14ac:dyDescent="0.25">
      <c r="C425" s="50"/>
    </row>
    <row r="426" spans="3:3" x14ac:dyDescent="0.25">
      <c r="C426" s="50"/>
    </row>
    <row r="427" spans="3:3" x14ac:dyDescent="0.25">
      <c r="C427" s="50"/>
    </row>
    <row r="428" spans="3:3" x14ac:dyDescent="0.25">
      <c r="C428" s="50"/>
    </row>
    <row r="429" spans="3:3" x14ac:dyDescent="0.25">
      <c r="C429" s="50"/>
    </row>
    <row r="430" spans="3:3" x14ac:dyDescent="0.25">
      <c r="C430" s="50"/>
    </row>
    <row r="431" spans="3:3" x14ac:dyDescent="0.25">
      <c r="C431" s="50"/>
    </row>
    <row r="432" spans="3:3" x14ac:dyDescent="0.25">
      <c r="C432" s="50"/>
    </row>
    <row r="433" spans="3:3" x14ac:dyDescent="0.25">
      <c r="C433" s="50"/>
    </row>
    <row r="434" spans="3:3" x14ac:dyDescent="0.25">
      <c r="C434" s="50"/>
    </row>
    <row r="435" spans="3:3" x14ac:dyDescent="0.25">
      <c r="C435" s="50"/>
    </row>
    <row r="436" spans="3:3" x14ac:dyDescent="0.25">
      <c r="C436" s="50"/>
    </row>
    <row r="437" spans="3:3" x14ac:dyDescent="0.25">
      <c r="C437" s="50"/>
    </row>
    <row r="438" spans="3:3" x14ac:dyDescent="0.25">
      <c r="C438" s="50"/>
    </row>
    <row r="439" spans="3:3" x14ac:dyDescent="0.25">
      <c r="C439" s="50"/>
    </row>
    <row r="440" spans="3:3" x14ac:dyDescent="0.25">
      <c r="C440" s="50"/>
    </row>
    <row r="441" spans="3:3" x14ac:dyDescent="0.25">
      <c r="C441" s="50"/>
    </row>
    <row r="442" spans="3:3" x14ac:dyDescent="0.25">
      <c r="C442" s="50"/>
    </row>
    <row r="443" spans="3:3" x14ac:dyDescent="0.25">
      <c r="C443" s="50"/>
    </row>
    <row r="444" spans="3:3" x14ac:dyDescent="0.25">
      <c r="C444" s="50"/>
    </row>
    <row r="445" spans="3:3" x14ac:dyDescent="0.25">
      <c r="C445" s="50"/>
    </row>
    <row r="446" spans="3:3" x14ac:dyDescent="0.25">
      <c r="C446" s="50"/>
    </row>
    <row r="447" spans="3:3" x14ac:dyDescent="0.25">
      <c r="C447" s="50"/>
    </row>
    <row r="448" spans="3:3" x14ac:dyDescent="0.25">
      <c r="C448" s="50"/>
    </row>
    <row r="449" spans="3:3" x14ac:dyDescent="0.25">
      <c r="C449" s="50"/>
    </row>
    <row r="450" spans="3:3" x14ac:dyDescent="0.25">
      <c r="C450" s="50"/>
    </row>
    <row r="451" spans="3:3" x14ac:dyDescent="0.25">
      <c r="C451" s="50"/>
    </row>
    <row r="452" spans="3:3" x14ac:dyDescent="0.25">
      <c r="C452" s="50"/>
    </row>
    <row r="453" spans="3:3" x14ac:dyDescent="0.25">
      <c r="C453" s="50"/>
    </row>
    <row r="454" spans="3:3" x14ac:dyDescent="0.25">
      <c r="C454" s="50"/>
    </row>
    <row r="455" spans="3:3" x14ac:dyDescent="0.25">
      <c r="C455" s="50"/>
    </row>
    <row r="456" spans="3:3" x14ac:dyDescent="0.25">
      <c r="C456" s="50"/>
    </row>
    <row r="457" spans="3:3" x14ac:dyDescent="0.25">
      <c r="C457" s="50"/>
    </row>
    <row r="458" spans="3:3" x14ac:dyDescent="0.25">
      <c r="C458" s="50"/>
    </row>
    <row r="459" spans="3:3" x14ac:dyDescent="0.25">
      <c r="C459" s="50"/>
    </row>
    <row r="460" spans="3:3" x14ac:dyDescent="0.25">
      <c r="C460" s="50"/>
    </row>
    <row r="461" spans="3:3" x14ac:dyDescent="0.25">
      <c r="C461" s="50"/>
    </row>
    <row r="462" spans="3:3" x14ac:dyDescent="0.25">
      <c r="C462" s="50"/>
    </row>
    <row r="463" spans="3:3" x14ac:dyDescent="0.25">
      <c r="C463" s="50"/>
    </row>
    <row r="464" spans="3:3" x14ac:dyDescent="0.25">
      <c r="C464" s="50"/>
    </row>
    <row r="465" spans="3:3" x14ac:dyDescent="0.25">
      <c r="C465" s="50"/>
    </row>
    <row r="466" spans="3:3" x14ac:dyDescent="0.25">
      <c r="C466" s="50"/>
    </row>
    <row r="467" spans="3:3" x14ac:dyDescent="0.25">
      <c r="C467" s="50"/>
    </row>
    <row r="468" spans="3:3" x14ac:dyDescent="0.25">
      <c r="C468" s="50"/>
    </row>
    <row r="469" spans="3:3" x14ac:dyDescent="0.25">
      <c r="C469" s="50"/>
    </row>
    <row r="470" spans="3:3" x14ac:dyDescent="0.25">
      <c r="C470" s="50"/>
    </row>
    <row r="471" spans="3:3" x14ac:dyDescent="0.25">
      <c r="C471" s="50"/>
    </row>
    <row r="472" spans="3:3" x14ac:dyDescent="0.25">
      <c r="C472" s="50"/>
    </row>
    <row r="473" spans="3:3" x14ac:dyDescent="0.25">
      <c r="C473" s="50"/>
    </row>
    <row r="474" spans="3:3" x14ac:dyDescent="0.25">
      <c r="C474" s="50"/>
    </row>
    <row r="475" spans="3:3" x14ac:dyDescent="0.25">
      <c r="C475" s="50"/>
    </row>
    <row r="476" spans="3:3" x14ac:dyDescent="0.25">
      <c r="C476" s="50"/>
    </row>
    <row r="477" spans="3:3" x14ac:dyDescent="0.25">
      <c r="C477" s="50"/>
    </row>
    <row r="478" spans="3:3" x14ac:dyDescent="0.25">
      <c r="C478" s="50"/>
    </row>
    <row r="479" spans="3:3" x14ac:dyDescent="0.25">
      <c r="C479" s="50"/>
    </row>
    <row r="480" spans="3:3" x14ac:dyDescent="0.25">
      <c r="C480" s="50"/>
    </row>
    <row r="481" spans="3:3" x14ac:dyDescent="0.25">
      <c r="C481" s="50"/>
    </row>
    <row r="482" spans="3:3" x14ac:dyDescent="0.25">
      <c r="C482" s="50"/>
    </row>
    <row r="483" spans="3:3" x14ac:dyDescent="0.25">
      <c r="C483" s="50"/>
    </row>
    <row r="484" spans="3:3" x14ac:dyDescent="0.25">
      <c r="C484" s="50"/>
    </row>
    <row r="485" spans="3:3" x14ac:dyDescent="0.25">
      <c r="C485" s="50"/>
    </row>
    <row r="486" spans="3:3" x14ac:dyDescent="0.25">
      <c r="C486" s="50"/>
    </row>
    <row r="487" spans="3:3" x14ac:dyDescent="0.25">
      <c r="C487" s="50"/>
    </row>
    <row r="488" spans="3:3" x14ac:dyDescent="0.25">
      <c r="C488" s="50"/>
    </row>
    <row r="489" spans="3:3" x14ac:dyDescent="0.25">
      <c r="C489" s="50"/>
    </row>
    <row r="490" spans="3:3" x14ac:dyDescent="0.25">
      <c r="C490" s="50"/>
    </row>
    <row r="491" spans="3:3" x14ac:dyDescent="0.25">
      <c r="C491" s="50"/>
    </row>
    <row r="492" spans="3:3" x14ac:dyDescent="0.25">
      <c r="C492" s="50"/>
    </row>
    <row r="493" spans="3:3" x14ac:dyDescent="0.25">
      <c r="C493" s="50"/>
    </row>
    <row r="494" spans="3:3" x14ac:dyDescent="0.25">
      <c r="C494" s="50"/>
    </row>
    <row r="495" spans="3:3" x14ac:dyDescent="0.25">
      <c r="C495" s="50"/>
    </row>
    <row r="496" spans="3:3" x14ac:dyDescent="0.25">
      <c r="C496" s="50"/>
    </row>
    <row r="497" spans="3:3" x14ac:dyDescent="0.25">
      <c r="C497" s="50"/>
    </row>
  </sheetData>
  <sheetProtection password="CC5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 на весь срок</vt:lpstr>
      <vt:lpstr>льготный период</vt:lpstr>
      <vt:lpstr>справочники</vt:lpstr>
      <vt:lpstr>Комбо-ипотека</vt:lpstr>
      <vt:lpstr>Ставка мечты</vt:lpstr>
      <vt:lpstr>Комбо (с субсидир от Застройщ)</vt:lpstr>
      <vt:lpstr>Комбо (со средневзв. ставкой)</vt:lpstr>
      <vt:lpstr>Комбо2</vt:lpstr>
      <vt:lpstr>график</vt:lpstr>
      <vt:lpstr>справочники!_ftn1</vt:lpstr>
      <vt:lpstr>справочники!_ftnref1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2024-04-19T12:14:35Z</dcterms:modified>
</cp:coreProperties>
</file>